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Usuario\Desktop\Anexos\"/>
    </mc:Choice>
  </mc:AlternateContent>
  <xr:revisionPtr revIDLastSave="0" documentId="13_ncr:1_{2B75DA04-CE8A-4532-BCCE-35A0DFEAAC57}" xr6:coauthVersionLast="45" xr6:coauthVersionMax="45" xr10:uidLastSave="{00000000-0000-0000-0000-000000000000}"/>
  <bookViews>
    <workbookView xWindow="20" yWindow="20" windowWidth="19180" windowHeight="10060" xr2:uid="{00000000-000D-0000-FFFF-FFFF00000000}"/>
  </bookViews>
  <sheets>
    <sheet name="Formulario" sheetId="1" r:id="rId1"/>
    <sheet name="Tabla Presupuesto Personal" sheetId="3" r:id="rId2"/>
    <sheet name="Tablas Presupuesto Detallado" sheetId="4" r:id="rId3"/>
    <sheet name="Presupuesto global" sheetId="5" r:id="rId4"/>
    <sheet name="Control de cambios" sheetId="6" state="hidden" r:id="rId5"/>
    <sheet name="Listas" sheetId="2" state="hidden" r:id="rId6"/>
  </sheets>
  <externalReferences>
    <externalReference r:id="rId7"/>
  </externalReferences>
  <definedNames>
    <definedName name="año">Listas!$A$67:$A$68</definedName>
    <definedName name="Año_acarre">'Tablas Presupuesto Detallado'!$F$131:$F$131</definedName>
    <definedName name="año_actual">Listas!$A$71</definedName>
    <definedName name="Año_adec">'Tablas Presupuesto Detallado'!$F$126:$F$126</definedName>
    <definedName name="Año_arrend">'Tablas Presupuesto Detallado'!$F$127:$F$127</definedName>
    <definedName name="Año_aud">'Tablas Presupuesto Detallado'!$F$119:$F$119</definedName>
    <definedName name="Año_avisos">'Tablas Presupuesto Detallado'!$F$132:$F$132</definedName>
    <definedName name="Año_capac">'Tablas Presupuesto Detallado'!$F$129:$F$129</definedName>
    <definedName name="Año_cómp">'Tablas Presupuesto Detallado'!$F$121:$F$121</definedName>
    <definedName name="Año_elelab">'Tablas Presupuesto Detallado'!$F$123:$F$123</definedName>
    <definedName name="Año_equipos">'Tablas Presupuesto Detallado'!$F$33:$F$37</definedName>
    <definedName name="Año_gasimpo">'Tablas Presupuesto Detallado'!$F$133:$F$133</definedName>
    <definedName name="Año_herra">'Tablas Presupuesto Detallado'!$F$124:$F$124</definedName>
    <definedName name="Año_libros">'Tablas Presupuesto Detallado'!$F$108:$F$112</definedName>
    <definedName name="Año_licencias">'Tablas Presupuesto Detallado'!$F$86:$F$90</definedName>
    <definedName name="Año_mont">'Tablas Presupuesto Detallado'!$F$125:$F$125</definedName>
    <definedName name="Año_mue">'Tablas Presupuesto Detallado'!$F$122:$F$122</definedName>
    <definedName name="Año_ofi">'Tablas Presupuesto Detallado'!$F$120:$F$120</definedName>
    <definedName name="Año_otgadm">'Tablas Presupuesto Detallado'!$F$134:$F$134</definedName>
    <definedName name="Año_otros">'Tablas Presupuesto Detallado'!$F$119:$F$134</definedName>
    <definedName name="Año_otrosrubros">'Tablas Presupuesto Detallado'!$F$119:$F$134</definedName>
    <definedName name="Año_papelería">'Tablas Presupuesto Detallado'!$F$97:$F$101</definedName>
    <definedName name="Año_personal">'Tabla Presupuesto Personal'!$M$7:$M$29</definedName>
    <definedName name="Año_portes">'Tablas Presupuesto Detallado'!$F$130:$F$130</definedName>
    <definedName name="Año_prácticas">'Tablas Presupuesto Detallado'!$F$44:$F$50</definedName>
    <definedName name="Año_reactivos">'Tablas Presupuesto Detallado'!$F$68:$F$79</definedName>
    <definedName name="Año_reparar">'Tablas Presupuesto Detallado'!$F$57:$F$61</definedName>
    <definedName name="Año_segur">'Tablas Presupuesto Detallado'!$F$128:$F$128</definedName>
    <definedName name="año_siguiente">Listas!$A$74</definedName>
    <definedName name="Año_ST">'Tablas Presupuesto Detallado'!$F$9:$F$13</definedName>
    <definedName name="año_subsiguiente">Listas!$A$77</definedName>
    <definedName name="Año_viajes">'Tablas Presupuesto Detallado'!$F$20:$F$26</definedName>
    <definedName name="Aproxsml2020">Listas!$A$77</definedName>
    <definedName name="Aproxsml2021">Listas!$A$77</definedName>
    <definedName name="Aproxsml2022">Listas!$A$77</definedName>
    <definedName name="Aproxsml2024">Listas!$A$77</definedName>
    <definedName name="aproxsmlmv2019">Listas!$A$74</definedName>
    <definedName name="aproxsmlmv2020">Listas!$A$74</definedName>
    <definedName name="aproxsmlmv2021">Listas!$A$74</definedName>
    <definedName name="aproxsmlmv2023">Listas!$A$74</definedName>
    <definedName name="_xlnm.Print_Area" localSheetId="0">Formulario!$A$1:$H$91</definedName>
    <definedName name="_xlnm.Print_Area" localSheetId="3">'Presupuesto global'!$A$1:$O$49</definedName>
    <definedName name="_xlnm.Print_Area" localSheetId="1">'Tabla Presupuesto Personal'!$A$1:$W$30</definedName>
    <definedName name="_xlnm.Print_Area" localSheetId="2">'Tablas Presupuesto Detallado'!$A$1:$K$135</definedName>
    <definedName name="cantidad">[1]Listas!$C$2:$C$11</definedName>
    <definedName name="CATEGORIA">[1]Listas!$A$45:$A$47</definedName>
    <definedName name="decision">[1]Listas!$A$5:$A$6</definedName>
    <definedName name="ef_viajes">'Tablas Presupuesto Detallado'!$G$20:$G$26</definedName>
    <definedName name="Efe_equipo">'Tablas Presupuesto Detallado'!$G$33:$G$37</definedName>
    <definedName name="efec_libros">'Tablas Presupuesto Detallado'!$G$108:$G$112</definedName>
    <definedName name="efec_licen">'Tablas Presupuesto Detallado'!$G$86:$G$90</definedName>
    <definedName name="efec_papel">'Tablas Presupuesto Detallado'!$G$97:$G$101</definedName>
    <definedName name="efec_practicas">'Tablas Presupuesto Detallado'!$G$44:$G$50</definedName>
    <definedName name="efec_reacti">'Tablas Presupuesto Detallado'!$G$68:$G$79</definedName>
    <definedName name="efec_reparar">'Tablas Presupuesto Detallado'!$G$57:$G$61</definedName>
    <definedName name="Efec_STOTRA">'Tablas Presupuesto Detallado'!$J$9:$J$13</definedName>
    <definedName name="efec_STUIS">'Tablas Presupuesto Detallado'!$G$9:$G$13</definedName>
    <definedName name="efectivo_uis">'Tabla Presupuesto Personal'!$T$7:$T$29</definedName>
    <definedName name="Entidad_finan">'Tabla Presupuesto Personal'!$J$7:$J$29</definedName>
    <definedName name="esp_libr">'Tablas Presupuesto Detallado'!$H$108:$H$112</definedName>
    <definedName name="esp_licenc">'Tablas Presupuesto Detallado'!$H$86:$H$90</definedName>
    <definedName name="esp_pract">'Tablas Presupuesto Detallado'!$H$44:$H$50</definedName>
    <definedName name="esp_react">'Tablas Presupuesto Detallado'!$H$68:$H$79</definedName>
    <definedName name="esp_reparar">'Tablas Presupuesto Detallado'!$H$57:$H$61</definedName>
    <definedName name="Esp_STOTRA">'Tablas Presupuesto Detallado'!$I$9:$I$13</definedName>
    <definedName name="Esp_STUIS">'Tablas Presupuesto Detallado'!$H$9:$H$13</definedName>
    <definedName name="esp_viajes">'Tablas Presupuesto Detallado'!$H$20:$H$26</definedName>
    <definedName name="espe_papel">'Tablas Presupuesto Detallado'!$H$97:$H$101</definedName>
    <definedName name="espec_equi">'Tablas Presupuesto Detallado'!$H$33:$H$37</definedName>
    <definedName name="especie_uis">'Tabla Presupuesto Personal'!$U$7:$U$29</definedName>
    <definedName name="grupos_UIS">Listas!#REF!</definedName>
    <definedName name="listaotrosrubros">Listas!$A$88:$A$103</definedName>
    <definedName name="ot_efe_via">'Tablas Presupuesto Detallado'!$J$20:$J$26</definedName>
    <definedName name="ot_efec_lice">'Tablas Presupuesto Detallado'!$J$86:$J$90</definedName>
    <definedName name="ot_efec_pape">'Tablas Presupuesto Detallado'!$J$97:$J$101</definedName>
    <definedName name="ot_es_lice">'Tablas Presupuesto Detallado'!$I$86:$I$90</definedName>
    <definedName name="ot_es_prac">'Tablas Presupuesto Detallado'!$I$44:$I$50</definedName>
    <definedName name="ot_es_viaj">'Tablas Presupuesto Detallado'!$I$20:$I$26</definedName>
    <definedName name="ot_esp_papel">'Tablas Presupuesto Detallado'!$I$97:$I$101</definedName>
    <definedName name="otr_efe_equ">'Tablas Presupuesto Detallado'!$J$33:$J$37</definedName>
    <definedName name="otr_efec_libro">'Tablas Presupuesto Detallado'!$J$108:$J$112</definedName>
    <definedName name="otr_efec_otr">'Tablas Presupuesto Detallado'!$J$119:$J$134</definedName>
    <definedName name="otr_efec_prac">'Tablas Presupuesto Detallado'!$J$44:$J$50</definedName>
    <definedName name="otr_efec_repara">'Tablas Presupuesto Detallado'!$J$57:$J$61</definedName>
    <definedName name="otr_es_equ">'Tablas Presupuesto Detallado'!$I$33:$I$37</definedName>
    <definedName name="otr_esp_libro">'Tablas Presupuesto Detallado'!$I$108:$I$112</definedName>
    <definedName name="otr_esp_repa">'Tablas Presupuesto Detallado'!$I$57:$I$61</definedName>
    <definedName name="otra_efec_react">'Tablas Presupuesto Detallado'!$J$68:$J$79</definedName>
    <definedName name="otra_esp_reac">'Tablas Presupuesto Detallado'!$I$68:$I$79</definedName>
    <definedName name="otras_efectivo">'Tabla Presupuesto Personal'!$W$7:$W$29</definedName>
    <definedName name="otras_especie">'Tabla Presupuesto Personal'!$V$7:$V$29</definedName>
    <definedName name="Otro_Es_otro">'Tablas Presupuesto Detallado'!$I$119:$I$134</definedName>
    <definedName name="otro_es_UIS">'Tablas Presupuesto Detallado'!$H$119:$H$134</definedName>
    <definedName name="otrosefec_uis">'Tablas Presupuesto Detallado'!$G$119:$G$134</definedName>
    <definedName name="otrosrubros">'Tablas Presupuesto Detallado'!$B$119:$E$134</definedName>
    <definedName name="otrosrubrosfi">'Tablas Presupuesto Detallado'!$E$119:$E$134</definedName>
    <definedName name="Riesgos_estudiantes">Listas!$A$81:$A$85</definedName>
    <definedName name="rol">[1]Listas!$A$22:$A$31</definedName>
    <definedName name="rubro">'Tabla Presupuesto Personal'!$O$7:$O$29</definedName>
    <definedName name="rubro_compra">'Tablas Presupuesto Detallado'!$E$33:$E$37</definedName>
    <definedName name="rubro_personal">'Tabla Presupuesto Personal'!$O$7:$O$29</definedName>
    <definedName name="rubro_viajes">'Tablas Presupuesto Detallado'!$E$20:$E$26</definedName>
    <definedName name="smlmv_2020">Listas!$A$71</definedName>
    <definedName name="smlmv_2021__estimado">Listas!$A$74</definedName>
    <definedName name="smlmv_2022">Listas!$A$71</definedName>
    <definedName name="smlmv_2022__estimado">Listas!$A$77</definedName>
    <definedName name="smlmv_2023__estimado">Listas!$A$74</definedName>
    <definedName name="smlmv_2024__estimado">Listas!$A$77</definedName>
    <definedName name="smlmv2018">Listas!$A$71</definedName>
    <definedName name="smlmv2019">Listas!$A$71</definedName>
    <definedName name="smlmv2020">Listas!$A$71</definedName>
    <definedName name="smlmv2022">Listas!$A$71</definedName>
    <definedName name="sumar">'[1]Tabla Personal'!$O$4:$O$23</definedName>
    <definedName name="Tarifa1">'Tabla Presupuesto Personal'!$D$35</definedName>
    <definedName name="Tarifa2">'Tabla Presupuesto Personal'!$D$36</definedName>
    <definedName name="Tarifa3">'Tabla Presupuesto Personal'!$D$37</definedName>
    <definedName name="Tarifa4">'Tabla Presupuesto Personal'!$D$38</definedName>
    <definedName name="Tarifa5">'Tabla Presupuesto Personal'!$D$39</definedName>
    <definedName name="TipoFinan">'Tabla Presupuesto Personal'!$K$7:$K$29</definedName>
    <definedName name="TipoR1">'Tabla Presupuesto Personal'!$C$35</definedName>
    <definedName name="TipoR2">'Tabla Presupuesto Personal'!$C$36</definedName>
    <definedName name="TipoR3">'Tabla Presupuesto Personal'!$C$37</definedName>
    <definedName name="TipoR4">'Tabla Presupuesto Personal'!$C$38</definedName>
    <definedName name="TipoR5">'Tabla Presupuesto Personal'!$C$39</definedName>
    <definedName name="_xlnm.Print_Titles" localSheetId="0">Formulario!$1:$2</definedName>
    <definedName name="Vl_riesgos_est">'Tabla Presupuesto Personal'!$S$7:$S$29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5" l="1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6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7" i="5"/>
  <c r="I16" i="5"/>
  <c r="I15" i="5"/>
  <c r="I14" i="5"/>
  <c r="I13" i="5"/>
  <c r="I12" i="5"/>
  <c r="I11" i="5"/>
  <c r="I10" i="5"/>
  <c r="I9" i="5"/>
  <c r="I8" i="5"/>
  <c r="I7" i="5"/>
  <c r="I6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6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6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6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7" i="3"/>
  <c r="A42" i="1" l="1"/>
  <c r="T8" i="3" l="1"/>
  <c r="I18" i="5" l="1"/>
  <c r="E45" i="3" l="1"/>
  <c r="E48" i="3"/>
  <c r="E47" i="3"/>
  <c r="E46" i="3"/>
  <c r="Q7" i="3" l="1"/>
  <c r="K9" i="4" l="1"/>
  <c r="V7" i="3"/>
  <c r="K6" i="5" l="1"/>
  <c r="Q8" i="3"/>
  <c r="T7" i="3"/>
  <c r="K128" i="4" l="1"/>
  <c r="K133" i="4"/>
  <c r="K134" i="4"/>
  <c r="J135" i="4"/>
  <c r="I135" i="4"/>
  <c r="H135" i="4"/>
  <c r="G135" i="4"/>
  <c r="W7" i="3"/>
  <c r="J51" i="4" l="1"/>
  <c r="K48" i="4"/>
  <c r="K46" i="4"/>
  <c r="K47" i="4"/>
  <c r="K45" i="4"/>
  <c r="G27" i="4"/>
  <c r="H27" i="4"/>
  <c r="I27" i="4"/>
  <c r="J27" i="4"/>
  <c r="K22" i="4"/>
  <c r="K23" i="4"/>
  <c r="K21" i="4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S30" i="3" l="1"/>
  <c r="T10" i="3"/>
  <c r="K35" i="5" l="1"/>
  <c r="J37" i="5" l="1"/>
  <c r="I37" i="5"/>
  <c r="F37" i="5"/>
  <c r="E37" i="5"/>
  <c r="K34" i="5" l="1"/>
  <c r="K36" i="5"/>
  <c r="C3" i="5"/>
  <c r="C2" i="5"/>
  <c r="C3" i="4"/>
  <c r="C2" i="4"/>
  <c r="C2" i="3"/>
  <c r="C3" i="3"/>
  <c r="K9" i="5" l="1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J14" i="4"/>
  <c r="G80" i="4"/>
  <c r="K72" i="4"/>
  <c r="K71" i="4"/>
  <c r="I14" i="4"/>
  <c r="H14" i="4"/>
  <c r="G14" i="4"/>
  <c r="K13" i="4"/>
  <c r="K12" i="4"/>
  <c r="K11" i="4"/>
  <c r="K10" i="4"/>
  <c r="Q23" i="3"/>
  <c r="U23" i="3"/>
  <c r="V23" i="3"/>
  <c r="Q24" i="3"/>
  <c r="U24" i="3"/>
  <c r="V24" i="3"/>
  <c r="Q25" i="3"/>
  <c r="U25" i="3"/>
  <c r="V25" i="3"/>
  <c r="K14" i="4" l="1"/>
  <c r="K98" i="4" l="1"/>
  <c r="V29" i="3" l="1"/>
  <c r="V8" i="3"/>
  <c r="V9" i="3"/>
  <c r="V10" i="3"/>
  <c r="V11" i="3"/>
  <c r="V12" i="3"/>
  <c r="V13" i="3"/>
  <c r="V14" i="3"/>
  <c r="V16" i="3"/>
  <c r="V17" i="3"/>
  <c r="V18" i="3"/>
  <c r="V19" i="3"/>
  <c r="V20" i="3"/>
  <c r="V21" i="3"/>
  <c r="V22" i="3"/>
  <c r="V26" i="3"/>
  <c r="V27" i="3"/>
  <c r="V28" i="3"/>
  <c r="H37" i="5" l="1"/>
  <c r="D43" i="5" s="1"/>
  <c r="Q10" i="3"/>
  <c r="J38" i="4"/>
  <c r="G37" i="5" l="1"/>
  <c r="D42" i="5" s="1"/>
  <c r="C37" i="5"/>
  <c r="D40" i="5" s="1"/>
  <c r="D51" i="5" s="1"/>
  <c r="E51" i="5" s="1"/>
  <c r="E42" i="5" l="1"/>
  <c r="K8" i="5"/>
  <c r="K120" i="4"/>
  <c r="K121" i="4"/>
  <c r="K122" i="4"/>
  <c r="K123" i="4"/>
  <c r="K124" i="4"/>
  <c r="K125" i="4"/>
  <c r="K126" i="4"/>
  <c r="K127" i="4"/>
  <c r="K129" i="4"/>
  <c r="K130" i="4"/>
  <c r="K131" i="4"/>
  <c r="K132" i="4"/>
  <c r="K119" i="4"/>
  <c r="G113" i="4"/>
  <c r="G102" i="4"/>
  <c r="G91" i="4"/>
  <c r="G62" i="4"/>
  <c r="G51" i="4"/>
  <c r="G38" i="4"/>
  <c r="K20" i="4"/>
  <c r="U7" i="3"/>
  <c r="Q9" i="3"/>
  <c r="T9" i="3" s="1"/>
  <c r="K135" i="4" l="1"/>
  <c r="D47" i="5"/>
  <c r="C47" i="5"/>
  <c r="M102" i="4"/>
  <c r="J102" i="4"/>
  <c r="I102" i="4"/>
  <c r="H102" i="4"/>
  <c r="K101" i="4"/>
  <c r="K100" i="4"/>
  <c r="K99" i="4"/>
  <c r="K97" i="4"/>
  <c r="K26" i="4"/>
  <c r="K25" i="4"/>
  <c r="K24" i="4"/>
  <c r="I51" i="4"/>
  <c r="H51" i="4"/>
  <c r="K50" i="4"/>
  <c r="K49" i="4"/>
  <c r="K44" i="4"/>
  <c r="J62" i="4"/>
  <c r="I62" i="4"/>
  <c r="H62" i="4"/>
  <c r="K61" i="4"/>
  <c r="K60" i="4"/>
  <c r="K59" i="4"/>
  <c r="K58" i="4"/>
  <c r="K57" i="4"/>
  <c r="J80" i="4"/>
  <c r="I80" i="4"/>
  <c r="H80" i="4"/>
  <c r="K79" i="4"/>
  <c r="K78" i="4"/>
  <c r="K77" i="4"/>
  <c r="K76" i="4"/>
  <c r="K75" i="4"/>
  <c r="K74" i="4"/>
  <c r="K73" i="4"/>
  <c r="K70" i="4"/>
  <c r="K69" i="4"/>
  <c r="K68" i="4"/>
  <c r="J91" i="4"/>
  <c r="I91" i="4"/>
  <c r="H91" i="4"/>
  <c r="K90" i="4"/>
  <c r="K89" i="4"/>
  <c r="K88" i="4"/>
  <c r="K87" i="4"/>
  <c r="K86" i="4"/>
  <c r="J113" i="4"/>
  <c r="I113" i="4"/>
  <c r="H113" i="4"/>
  <c r="K112" i="4"/>
  <c r="K111" i="4"/>
  <c r="K110" i="4"/>
  <c r="K109" i="4"/>
  <c r="K108" i="4"/>
  <c r="I38" i="4"/>
  <c r="H38" i="4"/>
  <c r="K37" i="4"/>
  <c r="K36" i="4"/>
  <c r="K35" i="4"/>
  <c r="K34" i="4"/>
  <c r="K33" i="4"/>
  <c r="U29" i="3"/>
  <c r="Q29" i="3"/>
  <c r="U28" i="3"/>
  <c r="Q28" i="3"/>
  <c r="U27" i="3"/>
  <c r="Q27" i="3"/>
  <c r="U26" i="3"/>
  <c r="Q26" i="3"/>
  <c r="U22" i="3"/>
  <c r="Q22" i="3"/>
  <c r="U21" i="3"/>
  <c r="Q21" i="3"/>
  <c r="U20" i="3"/>
  <c r="Q20" i="3"/>
  <c r="Q19" i="3"/>
  <c r="U19" i="3" s="1"/>
  <c r="Q18" i="3"/>
  <c r="U18" i="3" s="1"/>
  <c r="Q17" i="3"/>
  <c r="U17" i="3" s="1"/>
  <c r="U16" i="3"/>
  <c r="Q16" i="3"/>
  <c r="U15" i="3"/>
  <c r="Q15" i="3"/>
  <c r="V15" i="3" s="1"/>
  <c r="U14" i="3"/>
  <c r="Q14" i="3"/>
  <c r="U13" i="3"/>
  <c r="Q13" i="3"/>
  <c r="U12" i="3"/>
  <c r="Q12" i="3"/>
  <c r="U11" i="3"/>
  <c r="Q11" i="3"/>
  <c r="T11" i="3" s="1"/>
  <c r="U10" i="3"/>
  <c r="U9" i="3"/>
  <c r="U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E47" i="5" l="1"/>
  <c r="D37" i="5"/>
  <c r="K7" i="5"/>
  <c r="K37" i="5" s="1"/>
  <c r="W30" i="3"/>
  <c r="V30" i="3"/>
  <c r="T30" i="3"/>
  <c r="U30" i="3"/>
  <c r="K91" i="4"/>
  <c r="K38" i="4"/>
  <c r="K62" i="4"/>
  <c r="K27" i="4"/>
  <c r="K51" i="4"/>
  <c r="K102" i="4"/>
  <c r="K113" i="4"/>
  <c r="K80" i="4"/>
  <c r="D41" i="5" l="1"/>
  <c r="E40" i="5" s="1"/>
  <c r="E44" i="5" s="1"/>
  <c r="D38" i="1"/>
  <c r="I15" i="1"/>
  <c r="D36" i="1" l="1"/>
  <c r="D37" i="1" l="1"/>
  <c r="D35" i="1" l="1"/>
  <c r="I35" i="1" s="1"/>
  <c r="D39" i="1"/>
  <c r="A74" i="2"/>
  <c r="F45" i="3" l="1"/>
  <c r="F46" i="3"/>
  <c r="F48" i="3"/>
  <c r="A77" i="2"/>
  <c r="G46" i="3" s="1"/>
  <c r="F47" i="3"/>
  <c r="G47" i="3" l="1"/>
  <c r="G45" i="3"/>
  <c r="G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1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3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4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5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6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8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9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106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  <comment ref="G11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Informar en esta columna lo que se va a solicitar a la VIE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VIE</author>
    <author>UIS</author>
  </authors>
  <commentList>
    <comment ref="C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VIE:</t>
        </r>
        <r>
          <rPr>
            <sz val="9"/>
            <color indexed="81"/>
            <rFont val="Tahoma"/>
            <family val="2"/>
          </rPr>
          <t xml:space="preserve">
Solicitado a la VIE para ejecución durante el año 2022</t>
        </r>
      </text>
    </comment>
    <comment ref="E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VIE:</t>
        </r>
        <r>
          <rPr>
            <sz val="9"/>
            <color indexed="81"/>
            <rFont val="Tahoma"/>
            <family val="2"/>
          </rPr>
          <t xml:space="preserve">
Solicitado a la VIE para ejecución durante el año 2023</t>
        </r>
      </text>
    </comment>
    <comment ref="G4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UIS:</t>
        </r>
        <r>
          <rPr>
            <sz val="8"/>
            <color indexed="81"/>
            <rFont val="Tahoma"/>
            <family val="2"/>
          </rPr>
          <t xml:space="preserve">
Adjuntar la constancia de aprobación de financiación por parte de la entidad. Este recurso es para ejecución en el año 2022.</t>
        </r>
      </text>
    </comment>
    <comment ref="I4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UIS:</t>
        </r>
        <r>
          <rPr>
            <sz val="8"/>
            <color indexed="81"/>
            <rFont val="Tahoma"/>
            <family val="2"/>
          </rPr>
          <t xml:space="preserve">
Adjuntar la constancia de aprobación de financiación por parte de la entidad. Este recurso es para ejecución en el año 2023.</t>
        </r>
      </text>
    </comment>
  </commentList>
</comments>
</file>

<file path=xl/sharedStrings.xml><?xml version="1.0" encoding="utf-8"?>
<sst xmlns="http://schemas.openxmlformats.org/spreadsheetml/2006/main" count="571" uniqueCount="340">
  <si>
    <t xml:space="preserve"> REGISTRO DE PROPUESTA DE INVESTIGACIÓN PARA FINANCIACIÓN INTERNA</t>
  </si>
  <si>
    <t>Versión: 08</t>
  </si>
  <si>
    <t>VICERRECTORÍA DE INVESTIGACIÓN Y EXTENSIÓN - VIE</t>
  </si>
  <si>
    <t>IDENTIFICACIÓN DE LA PROPUESTA</t>
  </si>
  <si>
    <r>
      <t xml:space="preserve">CONVOCATORIA
</t>
    </r>
    <r>
      <rPr>
        <sz val="8"/>
        <color indexed="8"/>
        <rFont val="Arial"/>
        <family val="2"/>
      </rPr>
      <t>(Seleccione la convocatoria en la que presenta su propuesta)</t>
    </r>
    <r>
      <rPr>
        <b/>
        <sz val="10"/>
        <color indexed="8"/>
        <rFont val="Arial"/>
        <family val="2"/>
      </rPr>
      <t>:</t>
    </r>
  </si>
  <si>
    <r>
      <t xml:space="preserve">MODALIDAD
</t>
    </r>
    <r>
      <rPr>
        <sz val="8"/>
        <color indexed="8"/>
        <rFont val="Arial"/>
        <family val="2"/>
      </rPr>
      <t>(Seleccione la modalidad en la que presenta su propuesta)</t>
    </r>
    <r>
      <rPr>
        <b/>
        <sz val="10"/>
        <color indexed="8"/>
        <rFont val="Arial"/>
        <family val="2"/>
      </rPr>
      <t>:</t>
    </r>
  </si>
  <si>
    <t>PROPUESTA</t>
  </si>
  <si>
    <t>TÍTULO DE LA PROPUESTA  DE INVESTIGACIÓN:</t>
  </si>
  <si>
    <t>OBJETIVO:</t>
  </si>
  <si>
    <t>DESCRIPTORES / PALABRAS CLAVES (Identifique palabras claves que definen el proyecto y que permiten ubicarlo en sistemas de información):</t>
  </si>
  <si>
    <t>LÍNEA DE INVESTIGACIÓN A LA QUE SE ADSCRIBE EL PROYECTO:</t>
  </si>
  <si>
    <t>DURACIÓN DEL PROYECTO:</t>
  </si>
  <si>
    <t>MESES</t>
  </si>
  <si>
    <t>PARTICIPANTES DE LA PROPUESTA</t>
  </si>
  <si>
    <t>DIRECTOR DE LA PROPUESTA:</t>
  </si>
  <si>
    <t>CORREO ELECTRÓNICO:</t>
  </si>
  <si>
    <t>CELULAR:</t>
  </si>
  <si>
    <t>TELÉFONO FIJO Y EXTENSIÓN:</t>
  </si>
  <si>
    <t xml:space="preserve">COINVESTIGADORES:
</t>
  </si>
  <si>
    <t>NOMBRE</t>
  </si>
  <si>
    <t>CORREO</t>
  </si>
  <si>
    <t>CANTIDAD DE PROFESORES PLANTA PARTICIPANTES</t>
  </si>
  <si>
    <t>GRUPO DE INVESTIGACIÓN (del director de la propuesta):</t>
  </si>
  <si>
    <t>NOMBRE DEL DIRECTOR DEL GRUPO DE INVESTIGACIÓN:</t>
  </si>
  <si>
    <t>OTROS GRUPOS DE INVESTIGACIÓN UIS PARTICIPANTES (de los coinvestigadores):</t>
  </si>
  <si>
    <t>ENTIDAD/INSTITUCIÓN(ES) ALIADA(S) EXTERNA(S) PARTICIPANTE(S):</t>
  </si>
  <si>
    <t>GRUPOS DE INVESTIGACIÓN EXTERNOS PARTICIPANTES:</t>
  </si>
  <si>
    <t>FINANCIACIÓN</t>
  </si>
  <si>
    <t>FINANCIACIÓN SOLICITADA (DESEMBOLSABLE):</t>
  </si>
  <si>
    <r>
      <t>CONTRAPARTIDA (</t>
    </r>
    <r>
      <rPr>
        <i/>
        <sz val="10"/>
        <color indexed="8"/>
        <rFont val="Arial"/>
        <family val="2"/>
      </rPr>
      <t>NO DESEMBOLSABLE</t>
    </r>
    <r>
      <rPr>
        <sz val="10"/>
        <color indexed="8"/>
        <rFont val="Arial"/>
        <family val="2"/>
      </rPr>
      <t>):</t>
    </r>
  </si>
  <si>
    <t>APORTE (DESEMBOLSABLE) OTRA(S) ENTIDAD(ES):</t>
  </si>
  <si>
    <r>
      <t>APORTE (</t>
    </r>
    <r>
      <rPr>
        <i/>
        <sz val="10"/>
        <color indexed="8"/>
        <rFont val="Arial"/>
        <family val="2"/>
      </rPr>
      <t xml:space="preserve">NO DESEMBOLSABLE </t>
    </r>
    <r>
      <rPr>
        <sz val="10"/>
        <color indexed="8"/>
        <rFont val="Arial"/>
        <family val="2"/>
      </rPr>
      <t>OTRA(S) ENTIDAD(ES):</t>
    </r>
  </si>
  <si>
    <t>COSTO TOTAL DEL PROYECTO:</t>
  </si>
  <si>
    <t>COMPROMISOS</t>
  </si>
  <si>
    <t xml:space="preserve">VERIFICACIÓN </t>
  </si>
  <si>
    <t>DOCUMENTOS ENTREGABLES</t>
  </si>
  <si>
    <t>¿LO ENTREGÓ?</t>
  </si>
  <si>
    <t>Propuesta presentada utilizando la GUÍA PARA LA PRESENTACIÓN DE PROPUESTAS DE INVESTIGACIÓN, con todas las secciones diligenciadas, adjuntada en el SIVIE en el formato PDF</t>
  </si>
  <si>
    <t>DIRECTOR DE LA PROPUESTA</t>
  </si>
  <si>
    <t>DIRECTOR DEL GRUPO DE INVESTIGACIÓN</t>
  </si>
  <si>
    <t>Nombre:</t>
  </si>
  <si>
    <t>Escuela:</t>
  </si>
  <si>
    <t>Grupo del Director de la propuesta</t>
  </si>
  <si>
    <t>AVAL DEL DIRECTOR DE ESCUELA</t>
  </si>
  <si>
    <t>Escuela del Director de la propuesta</t>
  </si>
  <si>
    <t>COINVESTIGADOR 1</t>
  </si>
  <si>
    <t>COINVESTIGADOR 2</t>
  </si>
  <si>
    <t>Grupo del Coinvestigador 1</t>
  </si>
  <si>
    <t>Grupo del Coinvestigador 2</t>
  </si>
  <si>
    <t>Escuela del Coinvestigador 1</t>
  </si>
  <si>
    <t>Escuela del Coinvestigador 2</t>
  </si>
  <si>
    <t>Tabla Presupuesto Personal</t>
  </si>
  <si>
    <t>NOMBRE PROPUESTA:</t>
  </si>
  <si>
    <t>CONVOCATORIA:</t>
  </si>
  <si>
    <t>No.</t>
  </si>
  <si>
    <t xml:space="preserve">INFORMACIÓN GENERAL </t>
  </si>
  <si>
    <t>INFORMACIÓN FINANCIERA</t>
  </si>
  <si>
    <t>Nombre completo</t>
  </si>
  <si>
    <t>Rol</t>
  </si>
  <si>
    <t>Título Académico</t>
  </si>
  <si>
    <t>Años
Experiencia</t>
  </si>
  <si>
    <t>Otros requisitos
(Si aplica)</t>
  </si>
  <si>
    <t>Descripción de la Función o Actividad principal</t>
  </si>
  <si>
    <t>E-mail</t>
  </si>
  <si>
    <t>Teléfono/
Celular</t>
  </si>
  <si>
    <t>Entidad Financiadora</t>
  </si>
  <si>
    <t>Tipo de Financiación</t>
  </si>
  <si>
    <r>
      <t xml:space="preserve">Tiempo dedicación </t>
    </r>
    <r>
      <rPr>
        <b/>
        <sz val="10"/>
        <color theme="1"/>
        <rFont val="Arial"/>
        <family val="2"/>
      </rPr>
      <t>Horas por semana</t>
    </r>
  </si>
  <si>
    <t>Año</t>
  </si>
  <si>
    <t>Meses de Vinculación</t>
  </si>
  <si>
    <t>Rubro</t>
  </si>
  <si>
    <t>Valor Hora ($)</t>
  </si>
  <si>
    <t>Valor Mes($)</t>
  </si>
  <si>
    <t>Tipo Riesgo Estudiantes
Auxiliatura</t>
  </si>
  <si>
    <t>Riesgos Laborales Estudiantes</t>
  </si>
  <si>
    <t xml:space="preserve"> UIS</t>
  </si>
  <si>
    <t>OTRA(S) INSTITUCIÓN(ES)</t>
  </si>
  <si>
    <t>Efectivo</t>
  </si>
  <si>
    <t>Especie</t>
  </si>
  <si>
    <t>TOTAL</t>
  </si>
  <si>
    <t>Tabla 1.Calcular riesgos laborales de las auxiliaturas estudiantiles</t>
  </si>
  <si>
    <t>Tipo</t>
  </si>
  <si>
    <t>Tarifa sobre smlmv</t>
  </si>
  <si>
    <t>Actividades</t>
  </si>
  <si>
    <t>I</t>
  </si>
  <si>
    <t>Financieras, Trabajos de Oficina, Administrativos; centros Educativos, Restaurantes</t>
  </si>
  <si>
    <t>II</t>
  </si>
  <si>
    <t>Algunos procesos manufactureros como la fabricación de tapetes, tejidos, confecciones y flores artificiales Almacenes por Departamentos, Algunas labores Agrícolas</t>
  </si>
  <si>
    <t>III</t>
  </si>
  <si>
    <t>Algunos procesos manufactureros como la fabricación de agujas, alcoholes Artículos de cuero</t>
  </si>
  <si>
    <t>IV</t>
  </si>
  <si>
    <t>Procesos manufactureros como fabricación de aceites, cervezas, vidrios, procesos de galvanización; transporte, servicios de vigilancia privada</t>
  </si>
  <si>
    <t>V</t>
  </si>
  <si>
    <t>Areneras, manejo de asbesto, Bomberos, manejo de explosivos, construcción, Explotación petrolera</t>
  </si>
  <si>
    <t>Tabla 2.Calcular hora de dedicación personal</t>
  </si>
  <si>
    <t>Ítem</t>
  </si>
  <si>
    <t>Vr. Hora ($)
2024 estimado 6% incremento</t>
  </si>
  <si>
    <t>Observación</t>
  </si>
  <si>
    <t>Coinvestigador(a)</t>
  </si>
  <si>
    <t>Director(a) del proyecto</t>
  </si>
  <si>
    <r>
      <t xml:space="preserve">Estudiante de doctorado </t>
    </r>
    <r>
      <rPr>
        <b/>
        <sz val="11"/>
        <rFont val="Arial"/>
        <family val="2"/>
      </rPr>
      <t>en modalidad auxiliatura</t>
    </r>
  </si>
  <si>
    <t>Si el estudiante se vincula en otra modalidad diferente a auxiliatura se deberá diligenciar el valor de la hora según la valoración de hoja de vida. Tener en cuenta un porcentaje de aumento del año 2023 y 2024</t>
  </si>
  <si>
    <r>
      <t xml:space="preserve">Estudiante de especialización </t>
    </r>
    <r>
      <rPr>
        <b/>
        <sz val="11"/>
        <color theme="1"/>
        <rFont val="Arial"/>
        <family val="2"/>
      </rPr>
      <t>en modalidad auxiliatura</t>
    </r>
  </si>
  <si>
    <t>Si el estudiante se vincula en otra modalidad diferente a auxiliatura se deberá diligenciar el valor de la hora según la valoración de hoja de vida. Tener en cuenta un porcentaje de aumento del año 2023 y 2024.</t>
  </si>
  <si>
    <r>
      <t xml:space="preserve">Estudiante de maestría </t>
    </r>
    <r>
      <rPr>
        <b/>
        <sz val="11"/>
        <color theme="1"/>
        <rFont val="Arial"/>
        <family val="2"/>
      </rPr>
      <t>en modalidad auxiliatura</t>
    </r>
  </si>
  <si>
    <r>
      <t xml:space="preserve">Estudiante de pregrado </t>
    </r>
    <r>
      <rPr>
        <b/>
        <sz val="11"/>
        <color theme="1"/>
        <rFont val="Arial"/>
        <family val="2"/>
      </rPr>
      <t>en modalidad auxiliatura</t>
    </r>
  </si>
  <si>
    <t>Si el estudiante se vincula en otra modalidad diferente a auxiliatura se deberá diligenciar el valor de la hora según la valoración de hoja de vida. Tener en cuenta un porcentaje de aumento del año 2021 y 2022.</t>
  </si>
  <si>
    <t>No profesional</t>
  </si>
  <si>
    <t>Diligenciar</t>
  </si>
  <si>
    <t>El valor de la hora es según valoración de hoja de vida.Tener en cuenta un porcentaje de aumento del año 2023 y 2024.</t>
  </si>
  <si>
    <t>Profesional</t>
  </si>
  <si>
    <t>Nota: Las auxiliaturas estudiantiles se reglamentan según el Acuerdo del Consejo Superior N°020 de 2014.</t>
  </si>
  <si>
    <t>Tablas Presupuesto Detallado</t>
  </si>
  <si>
    <t>Tabla 1. Servicios técnicos</t>
  </si>
  <si>
    <t>DESCRIPCIÓN</t>
  </si>
  <si>
    <t>JUSTIFICACIÓN</t>
  </si>
  <si>
    <t>RECURSOS</t>
  </si>
  <si>
    <t>UIS</t>
  </si>
  <si>
    <t>TOTALES</t>
  </si>
  <si>
    <t>Tabla 2. Pasajes, viáticos y gastos de viaje</t>
  </si>
  <si>
    <t>Tabla 3. Equipos de laboratorio y maquinaria</t>
  </si>
  <si>
    <t>EQUIPO/MAQUINARIA</t>
  </si>
  <si>
    <t>Costo Comercial</t>
  </si>
  <si>
    <t>Tabla 4. Prácticas docentes y salidas de campo</t>
  </si>
  <si>
    <t>Tabla 5. Reparación y mantenimiento</t>
  </si>
  <si>
    <t>Tabla 6.  Reactivos y materiales de laboratorio</t>
  </si>
  <si>
    <t>Tabla 7.  Licencias de Software que se planea adquirir</t>
  </si>
  <si>
    <t>LICENCIA</t>
  </si>
  <si>
    <t>Tabla 8.  Papelería y útiles de escritorio</t>
  </si>
  <si>
    <t>Tabla 9.  Libros y material bibliográfico</t>
  </si>
  <si>
    <t>Tabla 10.  Otros rubros</t>
  </si>
  <si>
    <t>Presupuesto global de la propuesta</t>
  </si>
  <si>
    <t>RUBRO</t>
  </si>
  <si>
    <t>FINANCIACIÓN UIS 2023</t>
  </si>
  <si>
    <t>FINANCIACIÓN OTRA(S) INSTITUCIÓN(ES) 2023</t>
  </si>
  <si>
    <t>Honorarios</t>
  </si>
  <si>
    <t>MODALIDAD MAYOR CUANTÍA</t>
  </si>
  <si>
    <t>Auxiliares estudiantiles</t>
  </si>
  <si>
    <t>ABIERTA O LIBRE CON FINANCIACIÓN</t>
  </si>
  <si>
    <t>Riesgos laborales estudiantes</t>
  </si>
  <si>
    <t>ABIERTA O LIBRE SIN FINANCIACIÓN</t>
  </si>
  <si>
    <t>Servicios Técnicos</t>
  </si>
  <si>
    <t>Pasajes</t>
  </si>
  <si>
    <t>CAPITAL SEMILLA</t>
  </si>
  <si>
    <t>Viáticos</t>
  </si>
  <si>
    <t>Gastos de viaje</t>
  </si>
  <si>
    <t>Equipos de laboratorio</t>
  </si>
  <si>
    <t>Maquinaria</t>
  </si>
  <si>
    <t>Prácticas docentes y salidas de campo</t>
  </si>
  <si>
    <t>Reparación y mantenimiento</t>
  </si>
  <si>
    <t>Reactivos y materiales de laboratorio</t>
  </si>
  <si>
    <t>Licencias de software</t>
  </si>
  <si>
    <t>Papelería y útiles de escritorio</t>
  </si>
  <si>
    <t>Libros y material bibliográfico</t>
  </si>
  <si>
    <t>Equipo audiovisual</t>
  </si>
  <si>
    <t>Equipo de oficina</t>
  </si>
  <si>
    <t>Equipo de cómputo</t>
  </si>
  <si>
    <t>Muebles y enseres</t>
  </si>
  <si>
    <t>Elementos de laboratorio</t>
  </si>
  <si>
    <t>Herramientas</t>
  </si>
  <si>
    <t>Montaje e instalaciones</t>
  </si>
  <si>
    <t>Adecuaciones</t>
  </si>
  <si>
    <t>Arrendamientos</t>
  </si>
  <si>
    <t>Seguros</t>
  </si>
  <si>
    <t>Capacitación de personal</t>
  </si>
  <si>
    <t>Portes y fletes</t>
  </si>
  <si>
    <t>Acarreos</t>
  </si>
  <si>
    <t>Avisos e impresos</t>
  </si>
  <si>
    <t>Semovientes</t>
  </si>
  <si>
    <t>Gastos de importación</t>
  </si>
  <si>
    <t>VALOR TOTAL DEL PROYECTO</t>
  </si>
  <si>
    <t>UIS EFECTIVO</t>
  </si>
  <si>
    <t>EFECTIVO 2023</t>
  </si>
  <si>
    <t>PORCENTAJE POR VIGENCIA</t>
  </si>
  <si>
    <t>APROPIACIÓN SOCIAL DEL CONOCIMIENTO (ASC)</t>
  </si>
  <si>
    <t>EFECTIVO</t>
  </si>
  <si>
    <t>PORCENTAJE DEL VALOR EFECTIVO SOLICITADO</t>
  </si>
  <si>
    <t>PORCENTAJE VALIDO</t>
  </si>
  <si>
    <t xml:space="preserve">VALOR PRESUPUESTADO PARA ASC (Coloque en la casilla sombreada en amarillo el valor total de los recursos solicitados en efectivo que se dedicarán a acrtividades de ASC) </t>
  </si>
  <si>
    <t>CONTROL DE CAMBIOS</t>
  </si>
  <si>
    <t>FECHA</t>
  </si>
  <si>
    <t>VERSIÓN</t>
  </si>
  <si>
    <t>CAMBIOS REALIZADOS</t>
  </si>
  <si>
    <t>6 de marzo de 2019</t>
  </si>
  <si>
    <t>* Inclusión control de cambios
* Modificación de los compromisos, de acuerdo a adenda N° 1 publicada el 6 de marzo de 2019.</t>
  </si>
  <si>
    <t>07 de febrero de 2020</t>
  </si>
  <si>
    <t>Modificación nombres, compromisos aplicables y vigencias de las convocatorias año 2020</t>
  </si>
  <si>
    <t>24 de enero de 2022</t>
  </si>
  <si>
    <t>Modificación nombres, compromisos aplicables y vigencias de las convocatorias año 2022</t>
  </si>
  <si>
    <t>Tipo convocatoria:</t>
  </si>
  <si>
    <t>Tipo modalidad:</t>
  </si>
  <si>
    <t>INVESTIGACIÓN BÁSICA</t>
  </si>
  <si>
    <t>INVESTIGACIÓN APLICADA</t>
  </si>
  <si>
    <t>NO APLICA</t>
  </si>
  <si>
    <t>Compromisos:</t>
  </si>
  <si>
    <t>CONVOCATORIA INTERNA DE INVESTIGACIÓN - ODS -MODALIDAD INVESTIGACIÓN BÁSICA</t>
  </si>
  <si>
    <t>CONVOCATORIA INTERNA DE INVESTIGACIÓN - ODS -MODALIDAD INVESTIGACIÓN APLICADA</t>
  </si>
  <si>
    <t>CONVOCATORIA INTERNA DE INVESTIGACIÓN - ODS -MODALIDAD DESARROLLO EXPERIMENTAL</t>
  </si>
  <si>
    <t>CONVOCATORIA INTERNA DE INVESTIGACIÓN - ODS -MODALIDAD INVESTIGACIÓN APLICADA INTERDISCIPLINAR</t>
  </si>
  <si>
    <t>CONVOCATORIA INTERNA DE INVESTIGACIÓN GENERANDO ESPÍRITU CIENTÍFICO - INVESTIGACIÓN BÁSICA</t>
  </si>
  <si>
    <t>CONVOCATORIA INTERNA DE INVESTIGACIÓN GENERANDO ESPÍRITU CIENTÍFICO - INVESTIGACIÓN APLICADA</t>
  </si>
  <si>
    <t>Estudiante de doctorado</t>
  </si>
  <si>
    <t>Estudiante de especialización</t>
  </si>
  <si>
    <t>Estudiante de maestría</t>
  </si>
  <si>
    <t>Estudiante de pregrado</t>
  </si>
  <si>
    <t>Entidad financiadora</t>
  </si>
  <si>
    <t>Otra(s) Institución(es)</t>
  </si>
  <si>
    <t>Tipo de financiación</t>
  </si>
  <si>
    <t>Ad-Honorem</t>
  </si>
  <si>
    <t>Rubro personal</t>
  </si>
  <si>
    <t>Rubro viajes</t>
  </si>
  <si>
    <t>Rubro compra</t>
  </si>
  <si>
    <t>smlmv 2024 (estimado)</t>
  </si>
  <si>
    <t>Tipo Riesgo Estudiantes</t>
  </si>
  <si>
    <t>Listado otros rubros</t>
  </si>
  <si>
    <t>Listado ODS</t>
  </si>
  <si>
    <t>Objetivo 1: Poner fin a la pobreza en todas sus formas en todo el mundo</t>
  </si>
  <si>
    <t>Objetivo 2: Poner fin al hambre, lograr la seguridad alimentaria y la mejora de la nutrición y promover la agricultura sostenible</t>
  </si>
  <si>
    <t>Objetivo 3: Garantizar una vida sana y promover el bienestar para todos en todas las edades</t>
  </si>
  <si>
    <t>Objetivo 4: Garantizar una educación inclusiva, equitativa y de calidad y promover oportunidades de aprendizaje durante toda la vida para todos</t>
  </si>
  <si>
    <t>Objetivo 5: Lograr la igualdad entre los géneros y empoderar a todas las mujeres y las niñas</t>
  </si>
  <si>
    <t>Objetivo 6: Garantizar la disponibilidad de agua y su gestión sostenible y el saneamiento para todos</t>
  </si>
  <si>
    <t>Objetivo 7: Garantizar el acceso a una energía asequible, segura, sostenible y moderna para todos</t>
  </si>
  <si>
    <t>Objetivo 8: Promover el crecimiento económico sostenido, inclusivo y sostenible, el empleo pleno y productivo y el trabajo decente para todos</t>
  </si>
  <si>
    <t>Objetivo 9: Construir infraestructuras resilientes, promover la industrialización inclusiva y sostenible y fomentar la innovación</t>
  </si>
  <si>
    <t>Objetivo 10: Reducir la desigualdad en y entre los países</t>
  </si>
  <si>
    <t>Objetivo 11: Lograr que las ciudades y los asentamientos humanos sean inclusivos, seguros, resilientes y sostenibles</t>
  </si>
  <si>
    <t>Objetivo 12: Garantizar modalidades de consumo y producción sostenibles</t>
  </si>
  <si>
    <t>Objetivo 13: Adoptar medidas urgentes para combatir el cambio climático y sus efectos</t>
  </si>
  <si>
    <t>Objetivo 14: Conservar y utilizar en forma sostenible los océanos, los mares y los recursos marinos para el desarrollo sostenible</t>
  </si>
  <si>
    <t>Objetivo 15: Proteger, restablecer y promover el uso sostenible de los ecosistemas terrestres, gestionar los bosques de forma sostenible, luchar contra la desertificación, detener e invertir la degradación de las tierras y poner freno a la pérdida de la diversidad biológica</t>
  </si>
  <si>
    <t>Objetivo 16: Promover sociedades pacíficas e inclusivas para el desarrollo sostenible, facilitar el acceso a la justicia para todos y crear instituciones eficaces, responsables e inclusivas a todos los niveles</t>
  </si>
  <si>
    <t>Objetivo 17: Fortalecer los medios de ejecución y revitalizar la Alianza Mundial para el Desarrollo Sostenible</t>
  </si>
  <si>
    <t xml:space="preserve">Otros problemas del conocimiento científico - Aplica para modalidad de “investigación básica” </t>
  </si>
  <si>
    <t>Listado FOCOS</t>
  </si>
  <si>
    <t xml:space="preserve">Foco 1. Tecnologías Convergentes e Industrias 4.0 </t>
  </si>
  <si>
    <t>Foco 2. Industrias Culturales y Creativas</t>
  </si>
  <si>
    <t>Foco 3. Energía Sostenible</t>
  </si>
  <si>
    <t>Foco 4. Bioeconomía, Biotecnología y Medio Ambiente</t>
  </si>
  <si>
    <t>Foco 5. Océanos y Recursos Hidrobiológicos</t>
  </si>
  <si>
    <t>Foco 6. Ciencias Sociales y Desarrollo Humano con Equidad</t>
  </si>
  <si>
    <t>Foco 7. Ciencias de la Vida y de la Salud</t>
  </si>
  <si>
    <t>Foco 8. Ciencias Básicas y del Espacio</t>
  </si>
  <si>
    <t>DESARROLLO EXPERIMENTAL</t>
  </si>
  <si>
    <r>
      <t xml:space="preserve">• Presentar a la Dirección de Investigación y Extensión de la facultad a la que pertenece el director del proyecto un (1) informe de avance en la mitad del periodo de ejecución y un (1) informe final a la terminación del proyecto (Formulario FIN.51)
• Transcurrido el 50% del tiempo de ejecución del proyecto inicialmente aprobado (sin tener en cuenta las prórrogas), la ejecución presupuestal deberá ser mínimo del 40% del valor total aprobado, en caso contrario, el equipo de investigación quedará inhabilitado para presentar propuestas a las convocatorias del portafolio de la VIE del siguiente año.
• Hasta un año después de finalizado el proyecto, deberá completar el total de </t>
    </r>
    <r>
      <rPr>
        <b/>
        <sz val="10"/>
        <rFont val="Arial"/>
        <family val="2"/>
      </rPr>
      <t>15 puntos</t>
    </r>
    <r>
      <rPr>
        <sz val="10"/>
        <rFont val="Arial"/>
        <family val="2"/>
      </rPr>
      <t xml:space="preserve"> en productos académicos señalados en cada convocatoria, de acuerdo con la tabla No. 1. Por lo menos uno de éstos debe corresponder a un producto de generación de nuevo conocimiento relacionado con la temática del proyecto (artículos científicos, libros, capítulos de libro, ponencias en eventos académicos y patentes). Para el caso de los profesores de artes, este requisito puede ser cumplido con los productos artísticos marcados con asterisco en la Tabla No. 1.
• Los productos presentados en cumplimiento de compromisos de una de las convocatorias internas de proyectos (Convocatoria interna de investigación básica y articulada con el entorno: Misión  Colombia  y  Objetivos  de  Desarrollo  sostenible  –ODS-,  Convocatoria  interna  de investigación “generando espíritu científico”) no pueden ser usados para cumplir requisitos de compromisos correspondientes a otras convocatorias internas de proyectos.
• En todos los productos obtenidos (artículos, ponencias, software, trabajos de grado, tesis, etc.), es necesario dar crédito a la Universidad Industrial de Santander, indicando claramente la filiación de los autores, el código o título del proyecto financiado de donde deriva el producto.
• Adicionalmente hasta un año después de finalizado el proyecto, se deberá someter una propuesta de investigación o extensión a una entidad externa, que ofrezca financiación. En el caso de propuesta de investigación, ésta debe estar debidamente avalada por el Comité Operativo de Investigación y Extensión. En el caso de las propuestas de extensión, se debe cumplir con lo establecido en el Acuerdo 103 de 2010. Este compromiso es obligatorio y no es homologable.</t>
    </r>
  </si>
  <si>
    <r>
      <t xml:space="preserve">• Presentar a la Dirección de Investigación y Extensión de la facultad a la que pertenece el director del proyecto un (1) informe de avance en la mitad del periodo de ejecución y un (1) informe final a la terminación del proyecto (Formulario FIN.51)
• Transcurrido el 50% del tiempo de ejecución del proyecto inicialmente aprobado (sin tener en cuenta las prórrogas), la ejecución presupuestal deberá ser mínimo del 40% del valor total aprobado, en caso contrario, el equipo de investigación quedará inhabilitado para presentar propuestas a las convocatorias del portafolio de la VIE del siguiente año.
• Hasta un año después de finalizado el proyecto, deberá completar el total de </t>
    </r>
    <r>
      <rPr>
        <b/>
        <sz val="10"/>
        <rFont val="Arial"/>
        <family val="2"/>
      </rPr>
      <t>40 puntos</t>
    </r>
    <r>
      <rPr>
        <sz val="10"/>
        <rFont val="Arial"/>
        <family val="2"/>
      </rPr>
      <t xml:space="preserve"> en productos académicos señalados en cada convocatoria, de acuerdo con la tabla No. 1. Por lo menos uno de éstos debe corresponder a un producto de generación de nuevo conocimiento relacionado con la temática del proyecto (artículos científicos, libros, capítulos de libro, ponencias en eventos académicos y patentes). Para el caso de los profesores de artes, este requisito puede ser cumplido con los productos artísticos marcados con asterisco en la Tabla No. 1.
• Los productos presentados en cumplimiento de compromisos de una de las convocatorias internas de proyectos (Convocatoria interna de investigación básica y articulada con el entorno: Misión  Colombia  y  Objetivos  de  Desarrollo  sostenible  –ODS-,  Convocatoria  interna  de investigación “generando espíritu científico”) no pueden ser usados para cumplir requisitos de compromisos correspondientes a otras convocatorias internas de proyectos.
• En todos los productos obtenidos (artículos, ponencias, software, trabajos de grado, tesis, etc.), es necesario dar crédito a la Universidad Industrial de Santander, indicando claramente la filiación de los autores, el código o título del proyecto financiado de donde deriva el producto.
• Adicionalmente hasta un año después de finalizado el proyecto, se deberá someter una propuesta de investigación o extensión a una entidad externa, que ofrezca financiación. En el caso de propuesta de investigación, ésta debe estar debidamente avalada por el Comité Operativo de Investigación y Extensión. En el caso de las propuestas de extensión, se debe cumplir con lo establecido en el Acuerdo 103 de 2010. Este compromiso es obligatorio y no es homologable.</t>
    </r>
  </si>
  <si>
    <r>
      <t xml:space="preserve">• Presentar a la Dirección de Investigación y Extensión de la facultad a la que pertenece el director del proyecto un (1) informe de avance en la mitad del periodo de ejecución y un (1) informe final a la terminación del proyecto (Formulario FIN.51)
• Transcurrido el 50% del tiempo de ejecución del proyecto inicialmente aprobado (sin tener en cuenta las prórrogas), la ejecución presupuestal deberá ser mínimo del 40% del valor total aprobado, en caso contrario, el equipo de investigación quedará inhabilitado para presentar propuestas a las convocatorias del portafolio de la VIE del siguiente año.
• Hasta un año después de finalizado el proyecto, deberá completar el total de </t>
    </r>
    <r>
      <rPr>
        <b/>
        <sz val="10"/>
        <rFont val="Arial"/>
        <family val="2"/>
      </rPr>
      <t>4 puntos</t>
    </r>
    <r>
      <rPr>
        <sz val="10"/>
        <rFont val="Arial"/>
        <family val="2"/>
      </rPr>
      <t xml:space="preserve"> en productos académicos señalados en cada convocatoria, de acuerdo con la tabla No. 1. Por lo menos uno de éstos debe corresponder a un producto de generación de nuevo conocimiento relacionado con la temática del proyecto (artículos científicos, libros, capítulos de libro, ponencias en eventos académicos y patentes). Para el caso de los profesores de artes, este requisito puede ser cumplido con los productos artísticos marcados con asterisco en la Tabla No. 1.
• Los productos presentados en cumplimiento de compromisos de una de las convocatorias internas de proyectos (Convocatoria interna de investigación básica y articulada con el entorno: Misión  Colombia  y  Objetivos  de  Desarrollo  sostenible  –ODS-,  Convocatoria  interna  de investigación “generando espíritu científico”) no pueden ser usados para cumplir requisitos de compromisos correspondientes a otras convocatorias internas de proyectos.
• En todos los productos obtenidos (artículos, ponencias, software, trabajos de grado, tesis, etc.), es necesario dar crédito a la Universidad Industrial de Santander, indicando claramente la filiación de los autores, el código o título del proyecto financiado de donde deriva el producto.
• Adicionalmente hasta un año después de finalizado el proyecto, se deberá someter una propuesta de investigación o extensión a una entidad externa, que ofrezca financiación. En el caso de propuesta de investigación, ésta debe estar debidamente avalada por el Comité Operativo de Investigación y Extensión. En el caso de las propuestas de extensión, se debe cumplir con lo establecido en el Acuerdo 103 de 2010. Este compromiso es obligatorio y no es homologable.</t>
    </r>
  </si>
  <si>
    <t>Listado LINEA DE TRABAJO DEL FOCO</t>
  </si>
  <si>
    <r>
      <t xml:space="preserve">SELECCIONE </t>
    </r>
    <r>
      <rPr>
        <b/>
        <sz val="10"/>
        <color theme="1"/>
        <rFont val="Arial"/>
        <family val="2"/>
      </rPr>
      <t>EL OBJETIVO DE DESAROLLO SOSTENIBLE - ODS</t>
    </r>
    <r>
      <rPr>
        <sz val="10"/>
        <color theme="1"/>
        <rFont val="Arial"/>
        <family val="2"/>
      </rPr>
      <t xml:space="preserve"> AL CUAL LA PROPUESTA CONTRIBUYE DE MANERA PRIORITARIA:</t>
    </r>
  </si>
  <si>
    <t>Línea 1.1 Industria 4.0. Sistemas Inteligentes.</t>
  </si>
  <si>
    <t>Línea 1.2 Integración de tecnologías convergentes para el mejoramiento de la calidad de vida. Analítica de Datos.</t>
  </si>
  <si>
    <t>Línea 1.3 Integración de tecnologías emergentes y/o convergentes en la seguridad nacional. TIC para la Educación.</t>
  </si>
  <si>
    <t>Línea 1.4 Integración de tecnologías emergentes y/o convergentes en Geociencias.</t>
  </si>
  <si>
    <t>Línea 2.1 Artes y Patrimonio.</t>
  </si>
  <si>
    <t xml:space="preserve">Línea 2.2 Industrias culturales. </t>
  </si>
  <si>
    <t>Línea 2.3 Creaciones funcionales.</t>
  </si>
  <si>
    <t>Línea 3.1 Desarrollo y adaptación de nuevos procesos o tecnologías para generación, transmisión, distribución de energía o integración con la red.</t>
  </si>
  <si>
    <t>Línea 3.2 Sistemas de almacenamiento de energía o complementariedad entre las fuentes renovables y/o energías convencionales.</t>
  </si>
  <si>
    <t>Línea 3.3 Optimización de procesos o tecnologías para la sustitución de combustibles fósiles.</t>
  </si>
  <si>
    <t>Línea 3.4 Desarrollo de procesos o tecnologías que contribuyan a la eficiencia energética del lado de la demanda.</t>
  </si>
  <si>
    <t>Línea 3.5 Desarrollo de metodologías y herramientas que contribuyan al fortalecimiento energético del país.</t>
  </si>
  <si>
    <t xml:space="preserve">Línea 4.1 Valoración económica de los Servicios Ecosistémicos. </t>
  </si>
  <si>
    <t>Línea 4.2 Seguridad Alimentaria.</t>
  </si>
  <si>
    <t xml:space="preserve">Línea 4.3 Producción agropecuaria sostenible. </t>
  </si>
  <si>
    <t>Línea 4.4 Bioprospección y Bioprocesos.</t>
  </si>
  <si>
    <t>Línea 4.5 Gestión Integral del Recurso Hídrico.</t>
  </si>
  <si>
    <t xml:space="preserve">Línea 4.6 Adaptación y mitigación al cambio climático. </t>
  </si>
  <si>
    <t>Línea 4.7 Gestión del riesgo de desastres (GRD).</t>
  </si>
  <si>
    <t>Línea 4.8 Ambientes urbanos y rurales sostenibles.</t>
  </si>
  <si>
    <t>Línea 4.9 Desarrollo de procesos y productos industriales enfocados al consumo responsable.</t>
  </si>
  <si>
    <t xml:space="preserve">Línea 5.1.Componente Físico, Biológico, Químico y Geológico del Medio Marino e hídrico continental. </t>
  </si>
  <si>
    <t>Línea 5.2 Aprovechamiento sostenible del océano y de los recursos marinos, costeros e hídricos continentales.</t>
  </si>
  <si>
    <t>Línea 5.3 Calidad ambiental marina, costera e hídrica continental.</t>
  </si>
  <si>
    <t>Línea 6.1 Postconflicto.</t>
  </si>
  <si>
    <t xml:space="preserve">Línea 6.2 Hábitat, fenómenos sociales y urbanos. </t>
  </si>
  <si>
    <t>Línea 6.3 Violencia y sus manifestaciones.</t>
  </si>
  <si>
    <t>Línea 6.4 Estado, territorio y cultura.</t>
  </si>
  <si>
    <t xml:space="preserve">Línea 6.5 Estrategias innovadoras en el aula. </t>
  </si>
  <si>
    <t>Línea 6.6 Estudios étnicos</t>
  </si>
  <si>
    <t>Línea 7.1 Biología Evolutiva.</t>
  </si>
  <si>
    <t xml:space="preserve">Línea 7.2 Caracterización, taxonomía y sistemática de la biodiversidad. </t>
  </si>
  <si>
    <t>Línea 7.3 Manejo y conservación de especies y ecosistemas.</t>
  </si>
  <si>
    <t xml:space="preserve">Línea 7.4 Conectividad funcional para la biodiversidad. </t>
  </si>
  <si>
    <t>Línea 7.5 Patogénesis.</t>
  </si>
  <si>
    <t>Línea 7.6 Neurociencias y Salud mental.</t>
  </si>
  <si>
    <t>Línea 7.7 Enfermedades transmisibles e infecciosas.</t>
  </si>
  <si>
    <t xml:space="preserve">Línea 7.8 Enfermedades no transmisibles y factores de riesgo. </t>
  </si>
  <si>
    <t>Línea 7.9 Salud ambiental.</t>
  </si>
  <si>
    <t>Línea 7.10 Inmunología.</t>
  </si>
  <si>
    <t xml:space="preserve">Línea 7.11 Enfermedades autoinmunes, raras y huérfanas. </t>
  </si>
  <si>
    <t>Línea 7.12 Tecnologías en Salud.</t>
  </si>
  <si>
    <t>Línea 7.13 Salud pública.</t>
  </si>
  <si>
    <t>Línea 8.1 Materia y energía: Fundamentos y mecanismos.</t>
  </si>
  <si>
    <t xml:space="preserve">Línea 8.2 Materiales: obtención, síntesis, caracterización y procesamiento. </t>
  </si>
  <si>
    <t xml:space="preserve">Línea 8.3 Matemática y Estadística: fundamentos, desarrollos y modelos. </t>
  </si>
  <si>
    <t>Línea 8.4 Geociencias.</t>
  </si>
  <si>
    <t>Línea 8.5 Ciencias del espacio.</t>
  </si>
  <si>
    <r>
      <t xml:space="preserve">SELECCIONE EL </t>
    </r>
    <r>
      <rPr>
        <b/>
        <sz val="10"/>
        <color theme="1"/>
        <rFont val="Arial"/>
        <family val="2"/>
      </rPr>
      <t>FOCO</t>
    </r>
    <r>
      <rPr>
        <sz val="10"/>
        <color theme="1"/>
        <rFont val="Arial"/>
        <family val="2"/>
      </rPr>
      <t xml:space="preserve"> SI SU PROPUESTA ES PARA LA CONVOCATORIA BÁSICA Y ARTICULADA CON EL ENTORNO</t>
    </r>
  </si>
  <si>
    <r>
      <t>SELECCIONE</t>
    </r>
    <r>
      <rPr>
        <b/>
        <sz val="10"/>
        <color theme="1"/>
        <rFont val="Arial"/>
        <family val="2"/>
      </rPr>
      <t xml:space="preserve"> LA LINEA DE TRABAJO DEL FOCO</t>
    </r>
    <r>
      <rPr>
        <sz val="10"/>
        <color theme="1"/>
        <rFont val="Arial"/>
        <family val="2"/>
      </rPr>
      <t xml:space="preserve"> SI SU PROPUESTA ES PARA LA CONVOCATORIA BÁSICA Y ARTICULADA CON EL ENTORNO</t>
    </r>
  </si>
  <si>
    <t>PROGRAMA ESTRATEGICO DE INVESTIGACIÓN INTERDISCIPLINAR Y APLICADA</t>
  </si>
  <si>
    <t xml:space="preserve">• Presentar a la Dirección de Investigación y Extensión de la facultad a la que pertenece el director del proyecto un (1) informe de avance en la mitad del periodo de ejecución y un (1) informe final a la terminación del proyecto (Formulario FIN.51)
• Transcurrido el 50% del tiempo de ejecución del proyecto inicialmente aprobado, la ejecución presupuestal deberá ser mínimo del 40% del valor total aprobado.
• Productos: al finalizar el proyecto de investigacón, se deberán entregar como mínimo los siguientes tres (3) productos:
        * Informe Final.
        * Propuesta de Investigación para ser presentanda a un ente externo.
        * Cualquiera de los siguientes productos derivados de la investigación:
              * Versión final de un articulo para ser sometidos a una revista indexada u homologada.
              * Una ponencia nacional.
              * Una ponencia Internacional.
</t>
  </si>
  <si>
    <t>CONVOCATORIA CAPITAL SEMILLA - DOCENTES EN PERIODO DE PRUEBA</t>
  </si>
  <si>
    <t>CONVOCATORIA DE INVESTIGACIÓN BÁSICA Y ARTICULADA CON EL ENTORNO</t>
  </si>
  <si>
    <t>CONVOCATORIA DE INVESTIGACIÓN GENERANDO ESPÍRITU CIENTÍFICO</t>
  </si>
  <si>
    <t xml:space="preserve">Listado COMPONENTES en la política de equidad de género </t>
  </si>
  <si>
    <t>Listado EJES en la política de salud mental</t>
  </si>
  <si>
    <t>Gestión del conocimiento con enfoque de género</t>
  </si>
  <si>
    <t>Igualdad en el acceso a las oportunidades y a la participación equitativa</t>
  </si>
  <si>
    <t>Prevención, atención, asistencia, seguimiento y remisión de los hechos de violencia basada en género.</t>
  </si>
  <si>
    <t>Educación y comunicación para la equidad</t>
  </si>
  <si>
    <t>Procesos incluyentes de autoevaluación y curriculares</t>
  </si>
  <si>
    <t>Promoción del bienestar social y la calidad de vida en la comunidad universitaria</t>
  </si>
  <si>
    <t>Construcción de un modelo comunitario que facilite el desarrollo de entornos resilientes</t>
  </si>
  <si>
    <t>Consolidación de un modelo de atención primaria en salud mental que favorezca la detección temprana y abordaje integral de los trastornos psiquiátricos con énfasis en aquellos asociados al consumo de sustancias psicoactivas</t>
  </si>
  <si>
    <t xml:space="preserve">CONVOCATORIA DE INVESTIGACIÓN POR NUESTRO BIEN-ESTAR </t>
  </si>
  <si>
    <r>
      <t>SELECCIONE EL</t>
    </r>
    <r>
      <rPr>
        <b/>
        <sz val="10"/>
        <color theme="1"/>
        <rFont val="Arial"/>
        <family val="2"/>
      </rPr>
      <t xml:space="preserve"> COMPONENTE </t>
    </r>
    <r>
      <rPr>
        <sz val="10"/>
        <color theme="1"/>
        <rFont val="Arial"/>
        <family val="2"/>
      </rPr>
      <t xml:space="preserve">SI SU PROPUESTA ES PARA LA CONVOCATORIA EN INVESTIGACiÓN POR NUESTRO BIEN-ESTAR </t>
    </r>
  </si>
  <si>
    <r>
      <t xml:space="preserve">SELECCIONE EL </t>
    </r>
    <r>
      <rPr>
        <b/>
        <sz val="10"/>
        <color theme="1"/>
        <rFont val="Arial"/>
        <family val="2"/>
      </rPr>
      <t>EJE</t>
    </r>
    <r>
      <rPr>
        <sz val="10"/>
        <color theme="1"/>
        <rFont val="Arial"/>
        <family val="2"/>
      </rPr>
      <t xml:space="preserve"> SI SU PROPUESTA ES PARA LA CONVOCATORIA EN INVESTIGACiÓN POR NUESTRO BIEN-ESTAR </t>
    </r>
  </si>
  <si>
    <r>
      <t xml:space="preserve">• Presentar a la Dirección de Investigación y Extensión de la facultad a la que pertenece el director del proyecto un (1) informe de avance en la mitad del periodo de ejecución y un (1) informe final a la terminación del proyecto (Formulario FIN.51)
• Transcurrido el 50% del tiempo de ejecución del proyecto inicialmente aprobado (sin tener en cuenta las prórrogas), la ejecución presupuestal deberá ser mínimo del 40% del valor total aprobado, en caso contrario, el equipo de investigación quedará inhabilitado para presentar propuestas a las convocatorias del portafolio de la VIE del siguiente año.
• Hasta un año después de finalizado el proyecto, deberá completar el total de </t>
    </r>
    <r>
      <rPr>
        <b/>
        <sz val="10"/>
        <rFont val="Arial"/>
        <family val="2"/>
      </rPr>
      <t>8 puntos</t>
    </r>
    <r>
      <rPr>
        <sz val="10"/>
        <rFont val="Arial"/>
        <family val="2"/>
      </rPr>
      <t xml:space="preserve"> en productos académicos señalados en cada convocatoria, de acuerdo con la tabla No. 1. Por lo menos uno de éstos debe corresponder a un producto de generación de nuevo conocimiento relacionado con la temática del proyecto (artículos científicos, libros, capítulos de libro, ponencias en eventos académicos y patentes). Para el caso de los profesores de artes, este requisito puede ser cumplido con los productos artísticos marcados con asterisco en la Tabla No. 1.
• Los productos presentados en cumplimiento de compromisos de una de las convocatorias internas de proyectos (Convocatoria interna de investigación básica y articulada con el entorno: Misión  Colombia  y  Objetivos  de  Desarrollo  sostenible  –ODS-,  Convocatoria  interna  de investigación “generando espíritu científico”) no pueden ser usados para cumplir requisitos de compromisos correspondientes a otras convocatorias internas de proyectos.
• En todos los productos obtenidos (artículos, ponencias, software, trabajos de grado, tesis, etc.), es necesario dar crédito a la Universidad Industrial de Santander, indicando claramente la filiación de los autores, el código o título del proyecto financiado de donde deriva el producto.
• Adicionalmente hasta un año después de finalizado el proyecto, se deberá someter una propuesta de investigación o extensión a una entidad externa, que ofrezca financiación. En el caso de propuesta de investigación, ésta debe estar debidamente avalada por el Comité Operativo de Investigación y Extensión. En el caso de las propuestas de extensión, se debe cumplir con lo establecido en el Acuerdo 103 de 2010. Este compromiso es obligatorio y no es homologable.</t>
    </r>
  </si>
  <si>
    <t>CONVOCATORIA DE INVESTIGACIÓN BÁSICA Y ARTICULADA CON EL ENTORNO - INVESTIGACIÓN BÁSICA</t>
  </si>
  <si>
    <t>CONVOCATORIA DE INVESTIGACIÓN BÁSICA Y ARTICULADA CON EL ENTORNO - INVESTIGACIÓN APLICADA</t>
  </si>
  <si>
    <t>CONVOCATORIA DE INVESTIGACIÓN BÁSICA Y ARTICULADA CON EL ENTORNO - DESARROLLO EXPERIMENTAL</t>
  </si>
  <si>
    <t>CONVOCATORIA DE INVESTIGACIÓN BÁSICA Y ARTICULADA CON EL ENTORNO - PROGRAMA ESTRATEGICO</t>
  </si>
  <si>
    <t>CONVOCATORIA DE INVESTIGACIÓN GENERANDO ESPÍRITU CIENTÍFICO - INVESTIGACIÓN BÁSICA</t>
  </si>
  <si>
    <t>CONVOCATORIA DE INVESTIGACIÓN GENERANDO ESPÍRITU CIENTÍFICO- INVESTIGACIÓN APLICADA</t>
  </si>
  <si>
    <t>CONVOCATORIA DE INVESTIGACIÓN GENERANDO ESPÍRITU CIENTÍFICO- NO APLICA</t>
  </si>
  <si>
    <t>CONVOCATORIA DE INVESTIGACIÓN POR NUESTRO BIEN-ESTAR - INVESTIGACION BASICA</t>
  </si>
  <si>
    <t>CONVOCATORIA DE INVESTIGACIÓN POR NUESTRO BIEN-ESTAR - INVESTIGACION APLICADA</t>
  </si>
  <si>
    <t>CONVOCATORIA DE INVESTIGACIÓN POR NUESTRO BIEN-ESTAR - NO APLICA</t>
  </si>
  <si>
    <t>CONVOCATORIA DOCENTES EN PERIODO DE PRUEBA - INVESTIGACIÓN BÁSICA</t>
  </si>
  <si>
    <t>CONVOCATORIA DOCENTES EN PERIODO DE PRUEBA - INVESTIGACIÓN APLICADA</t>
  </si>
  <si>
    <t>CONVOCATORIA DOCENTES EN PERIODO DE PRUEBA - NO APLICA</t>
  </si>
  <si>
    <t>smlmv 2023</t>
  </si>
  <si>
    <t>smlmv 2025 (estimado)</t>
  </si>
  <si>
    <t>FINANCIACIÓN UIS 2024</t>
  </si>
  <si>
    <t>FINANCIACIÓN OTRA(S) INSTITUCIÓN(ES) 2024</t>
  </si>
  <si>
    <t>07 de Febrero de 2023</t>
  </si>
  <si>
    <t>Modificación nombres, compromisos aplicables y vigencias de las convocatorias año 2023</t>
  </si>
  <si>
    <t>Vr. Hora ($) 2023</t>
  </si>
  <si>
    <t>Vr. Hora ($)
2025 estimado 6% incremento</t>
  </si>
  <si>
    <t>EFECTIVO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</si>
</sst>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00%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C00000"/>
      <name val="Arial"/>
      <family val="2"/>
    </font>
    <font>
      <b/>
      <u/>
      <sz val="12"/>
      <color theme="1"/>
      <name val="Arial"/>
      <family val="2"/>
    </font>
    <font>
      <b/>
      <sz val="11"/>
      <color theme="9"/>
      <name val="Arial"/>
      <family val="2"/>
    </font>
    <font>
      <b/>
      <sz val="11"/>
      <color rgb="FF0070C0"/>
      <name val="Arial"/>
      <family val="2"/>
    </font>
    <font>
      <b/>
      <sz val="11"/>
      <color rgb="FF70AD47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0" fillId="0" borderId="55" xfId="0" applyBorder="1"/>
    <xf numFmtId="0" fontId="0" fillId="0" borderId="14" xfId="0" applyBorder="1"/>
    <xf numFmtId="0" fontId="3" fillId="0" borderId="17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11" fillId="0" borderId="6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9" fillId="0" borderId="0" xfId="0" applyFont="1"/>
    <xf numFmtId="0" fontId="11" fillId="0" borderId="0" xfId="0" applyFont="1" applyAlignment="1" applyProtection="1">
      <alignment vertical="center" wrapText="1"/>
      <protection locked="0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168" fontId="5" fillId="0" borderId="0" xfId="2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7" fontId="19" fillId="0" borderId="78" xfId="1" applyNumberFormat="1" applyFont="1" applyFill="1" applyBorder="1" applyAlignment="1" applyProtection="1">
      <alignment horizontal="center" vertical="center" wrapText="1"/>
      <protection hidden="1"/>
    </xf>
    <xf numFmtId="167" fontId="19" fillId="0" borderId="86" xfId="1" applyNumberFormat="1" applyFont="1" applyFill="1" applyBorder="1" applyAlignment="1" applyProtection="1">
      <alignment horizontal="center" vertical="center" wrapText="1"/>
      <protection hidden="1"/>
    </xf>
    <xf numFmtId="167" fontId="19" fillId="0" borderId="70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6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5" fillId="4" borderId="20" xfId="0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4" borderId="50" xfId="0" applyFont="1" applyFill="1" applyBorder="1" applyAlignment="1" applyProtection="1">
      <alignment horizontal="left" vertical="center" wrapText="1"/>
      <protection locked="0"/>
    </xf>
    <xf numFmtId="0" fontId="10" fillId="4" borderId="52" xfId="0" applyFont="1" applyFill="1" applyBorder="1" applyAlignment="1" applyProtection="1">
      <alignment horizontal="left" vertical="center" wrapText="1"/>
      <protection locked="0"/>
    </xf>
    <xf numFmtId="0" fontId="10" fillId="4" borderId="5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5" fillId="0" borderId="89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168" fontId="5" fillId="0" borderId="12" xfId="0" applyNumberFormat="1" applyFont="1" applyBorder="1" applyAlignment="1">
      <alignment horizontal="center" vertical="center" wrapText="1"/>
    </xf>
    <xf numFmtId="168" fontId="22" fillId="0" borderId="54" xfId="2" applyNumberFormat="1" applyFont="1" applyFill="1" applyBorder="1" applyAlignment="1">
      <alignment horizontal="left" vertical="center" wrapText="1"/>
    </xf>
    <xf numFmtId="168" fontId="22" fillId="0" borderId="13" xfId="2" applyNumberFormat="1" applyFont="1" applyFill="1" applyBorder="1" applyAlignment="1">
      <alignment horizontal="left" vertical="center" wrapText="1"/>
    </xf>
    <xf numFmtId="168" fontId="22" fillId="0" borderId="17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168" fontId="10" fillId="0" borderId="56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63" xfId="0" applyFont="1" applyBorder="1" applyAlignment="1" applyProtection="1">
      <alignment horizontal="center" vertical="center" wrapText="1"/>
      <protection locked="0"/>
    </xf>
    <xf numFmtId="168" fontId="5" fillId="0" borderId="0" xfId="0" applyNumberFormat="1" applyFont="1" applyAlignment="1">
      <alignment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6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5" fillId="0" borderId="0" xfId="2" applyFont="1" applyAlignment="1">
      <alignment horizontal="center" vertical="center"/>
    </xf>
    <xf numFmtId="0" fontId="5" fillId="0" borderId="78" xfId="0" applyFont="1" applyBorder="1" applyAlignment="1">
      <alignment vertical="center"/>
    </xf>
    <xf numFmtId="168" fontId="5" fillId="0" borderId="0" xfId="2" applyNumberFormat="1" applyFont="1" applyBorder="1" applyAlignment="1">
      <alignment horizontal="center" vertical="center"/>
    </xf>
    <xf numFmtId="165" fontId="5" fillId="0" borderId="0" xfId="2" applyFont="1" applyBorder="1" applyAlignment="1">
      <alignment horizontal="center" vertical="center"/>
    </xf>
    <xf numFmtId="168" fontId="4" fillId="0" borderId="0" xfId="2" applyNumberFormat="1" applyFont="1" applyFill="1" applyBorder="1" applyAlignment="1">
      <alignment horizontal="center" vertical="center"/>
    </xf>
    <xf numFmtId="165" fontId="4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99" xfId="0" applyFont="1" applyBorder="1" applyAlignment="1" applyProtection="1">
      <alignment horizontal="left" vertical="center" wrapText="1"/>
      <protection locked="0"/>
    </xf>
    <xf numFmtId="168" fontId="5" fillId="0" borderId="19" xfId="2" applyNumberFormat="1" applyFont="1" applyFill="1" applyBorder="1" applyAlignment="1" applyProtection="1">
      <alignment horizontal="center" vertical="center"/>
      <protection locked="0"/>
    </xf>
    <xf numFmtId="168" fontId="5" fillId="0" borderId="18" xfId="2" applyNumberFormat="1" applyFont="1" applyFill="1" applyBorder="1" applyAlignment="1" applyProtection="1">
      <alignment horizontal="center" vertical="center"/>
      <protection locked="0"/>
    </xf>
    <xf numFmtId="168" fontId="5" fillId="0" borderId="50" xfId="2" applyNumberFormat="1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left" vertical="center" wrapText="1"/>
      <protection locked="0"/>
    </xf>
    <xf numFmtId="168" fontId="5" fillId="0" borderId="48" xfId="2" applyNumberFormat="1" applyFont="1" applyFill="1" applyBorder="1" applyAlignment="1" applyProtection="1">
      <alignment horizontal="left" vertical="center" wrapText="1"/>
      <protection locked="0"/>
    </xf>
    <xf numFmtId="0" fontId="5" fillId="0" borderId="94" xfId="0" applyFont="1" applyBorder="1" applyAlignment="1" applyProtection="1">
      <alignment horizontal="left" vertical="center" wrapText="1"/>
      <protection locked="0"/>
    </xf>
    <xf numFmtId="168" fontId="5" fillId="0" borderId="9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168" fontId="5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6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99" xfId="0" applyFont="1" applyBorder="1" applyAlignment="1" applyProtection="1">
      <alignment horizontal="left" vertical="center" wrapText="1"/>
      <protection locked="0"/>
    </xf>
    <xf numFmtId="168" fontId="10" fillId="0" borderId="19" xfId="2" applyNumberFormat="1" applyFont="1" applyFill="1" applyBorder="1" applyAlignment="1" applyProtection="1">
      <alignment horizontal="center" vertical="center"/>
      <protection locked="0"/>
    </xf>
    <xf numFmtId="168" fontId="10" fillId="0" borderId="18" xfId="2" applyNumberFormat="1" applyFont="1" applyFill="1" applyBorder="1" applyAlignment="1" applyProtection="1">
      <alignment horizontal="center" vertical="center"/>
      <protection locked="0"/>
    </xf>
    <xf numFmtId="168" fontId="10" fillId="0" borderId="50" xfId="2" applyNumberFormat="1" applyFont="1" applyFill="1" applyBorder="1" applyAlignment="1" applyProtection="1">
      <alignment horizontal="center" vertical="center"/>
      <protection locked="0"/>
    </xf>
    <xf numFmtId="168" fontId="10" fillId="0" borderId="19" xfId="2" applyNumberFormat="1" applyFont="1" applyFill="1" applyBorder="1" applyAlignment="1">
      <alignment horizontal="center" vertical="center"/>
    </xf>
    <xf numFmtId="168" fontId="10" fillId="0" borderId="19" xfId="2" applyNumberFormat="1" applyFont="1" applyFill="1" applyBorder="1" applyAlignment="1" applyProtection="1">
      <alignment horizontal="center" vertical="center"/>
    </xf>
    <xf numFmtId="0" fontId="4" fillId="0" borderId="97" xfId="0" applyFont="1" applyBorder="1" applyAlignment="1">
      <alignment horizontal="right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69" fontId="20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10" fillId="0" borderId="0" xfId="0" applyNumberFormat="1" applyFont="1"/>
    <xf numFmtId="0" fontId="10" fillId="0" borderId="16" xfId="0" applyFont="1" applyBorder="1" applyAlignment="1">
      <alignment vertical="center" wrapText="1"/>
    </xf>
    <xf numFmtId="167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168" fontId="5" fillId="7" borderId="19" xfId="2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  <protection locked="0"/>
    </xf>
    <xf numFmtId="0" fontId="5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8" fontId="5" fillId="0" borderId="16" xfId="2" applyNumberFormat="1" applyFont="1" applyFill="1" applyBorder="1" applyAlignment="1">
      <alignment horizontal="left" vertical="center" wrapText="1"/>
    </xf>
    <xf numFmtId="168" fontId="10" fillId="0" borderId="16" xfId="2" applyNumberFormat="1" applyFont="1" applyFill="1" applyBorder="1" applyAlignment="1">
      <alignment horizontal="left" vertical="center" wrapText="1"/>
    </xf>
    <xf numFmtId="0" fontId="5" fillId="0" borderId="42" xfId="0" applyFont="1" applyBorder="1" applyAlignment="1">
      <alignment vertical="center" wrapText="1"/>
    </xf>
    <xf numFmtId="0" fontId="5" fillId="0" borderId="9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4" fillId="0" borderId="62" xfId="0" applyFont="1" applyBorder="1"/>
    <xf numFmtId="168" fontId="5" fillId="0" borderId="11" xfId="2" applyNumberFormat="1" applyFont="1" applyFill="1" applyBorder="1" applyAlignment="1">
      <alignment horizontal="left" vertical="center" wrapText="1"/>
    </xf>
    <xf numFmtId="168" fontId="10" fillId="0" borderId="11" xfId="2" applyNumberFormat="1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168" fontId="5" fillId="0" borderId="0" xfId="2" applyNumberFormat="1" applyFont="1" applyFill="1" applyAlignment="1">
      <alignment horizontal="center" vertical="center"/>
    </xf>
    <xf numFmtId="165" fontId="5" fillId="0" borderId="0" xfId="2" applyFont="1" applyFill="1" applyAlignment="1">
      <alignment horizontal="center" vertical="center"/>
    </xf>
    <xf numFmtId="168" fontId="5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168" fontId="5" fillId="7" borderId="87" xfId="2" applyNumberFormat="1" applyFont="1" applyFill="1" applyBorder="1" applyAlignment="1" applyProtection="1">
      <alignment horizontal="center" vertical="center" wrapText="1"/>
    </xf>
    <xf numFmtId="0" fontId="5" fillId="7" borderId="50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5" fillId="7" borderId="99" xfId="0" applyFont="1" applyFill="1" applyBorder="1" applyAlignment="1" applyProtection="1">
      <alignment horizontal="center" vertical="center" wrapText="1"/>
      <protection locked="0"/>
    </xf>
    <xf numFmtId="168" fontId="4" fillId="0" borderId="78" xfId="0" applyNumberFormat="1" applyFont="1" applyBorder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 wrapText="1"/>
    </xf>
    <xf numFmtId="168" fontId="5" fillId="2" borderId="20" xfId="2" applyNumberFormat="1" applyFont="1" applyFill="1" applyBorder="1" applyAlignment="1" applyProtection="1">
      <alignment horizontal="left" vertical="center" wrapText="1"/>
    </xf>
    <xf numFmtId="168" fontId="5" fillId="2" borderId="21" xfId="2" applyNumberFormat="1" applyFont="1" applyFill="1" applyBorder="1" applyAlignment="1" applyProtection="1">
      <alignment horizontal="left" vertical="center" wrapText="1"/>
      <protection locked="0"/>
    </xf>
    <xf numFmtId="168" fontId="5" fillId="2" borderId="52" xfId="2" applyNumberFormat="1" applyFont="1" applyFill="1" applyBorder="1" applyAlignment="1" applyProtection="1">
      <alignment horizontal="left" vertical="center" wrapText="1"/>
      <protection locked="0"/>
    </xf>
    <xf numFmtId="168" fontId="4" fillId="2" borderId="5" xfId="2" applyNumberFormat="1" applyFont="1" applyFill="1" applyBorder="1" applyAlignment="1">
      <alignment horizontal="center" vertical="center"/>
    </xf>
    <xf numFmtId="165" fontId="5" fillId="2" borderId="20" xfId="2" applyFont="1" applyFill="1" applyBorder="1" applyAlignment="1">
      <alignment horizontal="center" vertical="center"/>
    </xf>
    <xf numFmtId="165" fontId="4" fillId="2" borderId="6" xfId="2" applyFont="1" applyFill="1" applyBorder="1" applyAlignment="1">
      <alignment horizontal="center" vertical="center"/>
    </xf>
    <xf numFmtId="168" fontId="19" fillId="2" borderId="5" xfId="2" applyNumberFormat="1" applyFont="1" applyFill="1" applyBorder="1" applyAlignment="1">
      <alignment horizontal="center" vertical="center"/>
    </xf>
    <xf numFmtId="165" fontId="10" fillId="2" borderId="20" xfId="2" applyFont="1" applyFill="1" applyBorder="1" applyAlignment="1">
      <alignment horizontal="center" vertical="center"/>
    </xf>
    <xf numFmtId="168" fontId="5" fillId="2" borderId="119" xfId="2" applyNumberFormat="1" applyFont="1" applyFill="1" applyBorder="1" applyAlignment="1" applyProtection="1">
      <alignment vertical="center"/>
    </xf>
    <xf numFmtId="168" fontId="5" fillId="2" borderId="83" xfId="2" applyNumberFormat="1" applyFont="1" applyFill="1" applyBorder="1" applyAlignment="1" applyProtection="1">
      <alignment vertical="center"/>
    </xf>
    <xf numFmtId="168" fontId="5" fillId="2" borderId="15" xfId="0" applyNumberFormat="1" applyFont="1" applyFill="1" applyBorder="1" applyAlignment="1">
      <alignment horizontal="center" vertical="center"/>
    </xf>
    <xf numFmtId="168" fontId="5" fillId="2" borderId="23" xfId="0" applyNumberFormat="1" applyFont="1" applyFill="1" applyBorder="1" applyAlignment="1">
      <alignment horizontal="center" vertical="center"/>
    </xf>
    <xf numFmtId="168" fontId="5" fillId="2" borderId="50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8" fontId="5" fillId="11" borderId="35" xfId="2" applyNumberFormat="1" applyFont="1" applyFill="1" applyBorder="1" applyAlignment="1" applyProtection="1">
      <alignment vertical="center"/>
    </xf>
    <xf numFmtId="168" fontId="5" fillId="11" borderId="40" xfId="2" applyNumberFormat="1" applyFont="1" applyFill="1" applyBorder="1" applyAlignment="1" applyProtection="1">
      <alignment vertical="center"/>
    </xf>
    <xf numFmtId="168" fontId="5" fillId="11" borderId="120" xfId="2" applyNumberFormat="1" applyFont="1" applyFill="1" applyBorder="1" applyAlignment="1" applyProtection="1">
      <alignment vertical="center"/>
    </xf>
    <xf numFmtId="168" fontId="5" fillId="11" borderId="121" xfId="2" applyNumberFormat="1" applyFont="1" applyFill="1" applyBorder="1" applyAlignment="1" applyProtection="1">
      <alignment vertical="center"/>
    </xf>
    <xf numFmtId="0" fontId="10" fillId="0" borderId="59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vertical="center" wrapText="1"/>
      <protection locked="0"/>
    </xf>
    <xf numFmtId="0" fontId="10" fillId="7" borderId="26" xfId="0" applyFont="1" applyFill="1" applyBorder="1" applyAlignment="1" applyProtection="1">
      <alignment vertical="center" wrapText="1"/>
      <protection locked="0"/>
    </xf>
    <xf numFmtId="168" fontId="5" fillId="11" borderId="117" xfId="2" applyNumberFormat="1" applyFont="1" applyFill="1" applyBorder="1" applyAlignment="1" applyProtection="1">
      <alignment vertical="center"/>
    </xf>
    <xf numFmtId="168" fontId="5" fillId="7" borderId="20" xfId="2" applyNumberFormat="1" applyFont="1" applyFill="1" applyBorder="1" applyAlignment="1" applyProtection="1">
      <alignment horizontal="center" vertical="center" wrapText="1"/>
    </xf>
    <xf numFmtId="168" fontId="5" fillId="2" borderId="88" xfId="1" applyNumberFormat="1" applyFont="1" applyFill="1" applyBorder="1" applyAlignment="1">
      <alignment horizontal="left" vertical="center" wrapText="1"/>
    </xf>
    <xf numFmtId="168" fontId="5" fillId="2" borderId="63" xfId="1" applyNumberFormat="1" applyFont="1" applyFill="1" applyBorder="1" applyAlignment="1">
      <alignment horizontal="left" vertical="center" wrapText="1"/>
    </xf>
    <xf numFmtId="168" fontId="5" fillId="2" borderId="43" xfId="2" applyNumberFormat="1" applyFont="1" applyFill="1" applyBorder="1" applyAlignment="1" applyProtection="1">
      <alignment horizontal="left" vertical="center" wrapText="1"/>
      <protection locked="0"/>
    </xf>
    <xf numFmtId="168" fontId="5" fillId="2" borderId="20" xfId="2" applyNumberFormat="1" applyFont="1" applyFill="1" applyBorder="1" applyAlignment="1" applyProtection="1">
      <alignment horizontal="left" vertical="center" wrapText="1"/>
      <protection locked="0"/>
    </xf>
    <xf numFmtId="168" fontId="5" fillId="2" borderId="10" xfId="1" applyNumberFormat="1" applyFont="1" applyFill="1" applyBorder="1" applyAlignment="1">
      <alignment horizontal="left" vertical="center" wrapText="1"/>
    </xf>
    <xf numFmtId="168" fontId="5" fillId="2" borderId="22" xfId="1" applyNumberFormat="1" applyFont="1" applyFill="1" applyBorder="1" applyAlignment="1">
      <alignment horizontal="left" vertical="center" wrapText="1"/>
    </xf>
    <xf numFmtId="168" fontId="5" fillId="2" borderId="85" xfId="2" applyNumberFormat="1" applyFont="1" applyFill="1" applyBorder="1" applyAlignment="1" applyProtection="1">
      <alignment vertical="center"/>
    </xf>
    <xf numFmtId="0" fontId="10" fillId="0" borderId="124" xfId="0" applyFont="1" applyBorder="1" applyAlignment="1">
      <alignment vertical="center"/>
    </xf>
    <xf numFmtId="168" fontId="5" fillId="11" borderId="125" xfId="2" applyNumberFormat="1" applyFont="1" applyFill="1" applyBorder="1" applyAlignment="1" applyProtection="1">
      <alignment vertical="center"/>
    </xf>
    <xf numFmtId="0" fontId="5" fillId="0" borderId="104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168" fontId="28" fillId="0" borderId="16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2" fillId="0" borderId="126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9" fontId="5" fillId="0" borderId="103" xfId="4" applyFont="1" applyFill="1" applyBorder="1" applyAlignment="1" applyProtection="1">
      <alignment horizontal="center" vertical="center"/>
    </xf>
    <xf numFmtId="9" fontId="4" fillId="0" borderId="129" xfId="4" applyFont="1" applyFill="1" applyBorder="1" applyAlignment="1" applyProtection="1">
      <alignment horizontal="center" vertical="center"/>
    </xf>
    <xf numFmtId="9" fontId="5" fillId="0" borderId="0" xfId="4" applyFont="1" applyFill="1" applyBorder="1" applyAlignment="1" applyProtection="1">
      <alignment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130" xfId="0" applyFont="1" applyBorder="1" applyAlignment="1">
      <alignment horizontal="center" vertical="center"/>
    </xf>
    <xf numFmtId="0" fontId="34" fillId="4" borderId="19" xfId="3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left" vertical="center" wrapText="1"/>
      <protection locked="0"/>
    </xf>
    <xf numFmtId="0" fontId="27" fillId="4" borderId="50" xfId="0" applyFont="1" applyFill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vertical="center" wrapText="1"/>
      <protection locked="0"/>
    </xf>
    <xf numFmtId="0" fontId="35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5" fillId="0" borderId="131" xfId="0" applyFont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 wrapText="1"/>
    </xf>
    <xf numFmtId="0" fontId="5" fillId="0" borderId="133" xfId="0" applyFont="1" applyBorder="1" applyAlignment="1">
      <alignment vertical="center" wrapText="1"/>
    </xf>
    <xf numFmtId="168" fontId="5" fillId="12" borderId="134" xfId="0" applyNumberFormat="1" applyFont="1" applyFill="1" applyBorder="1" applyAlignment="1">
      <alignment horizontal="center" vertical="center"/>
    </xf>
    <xf numFmtId="170" fontId="4" fillId="2" borderId="129" xfId="4" applyNumberFormat="1" applyFont="1" applyFill="1" applyBorder="1" applyAlignment="1" applyProtection="1">
      <alignment horizontal="center" vertical="center"/>
    </xf>
    <xf numFmtId="0" fontId="32" fillId="0" borderId="105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3" fontId="10" fillId="0" borderId="0" xfId="2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3" fillId="0" borderId="5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3" fillId="2" borderId="45" xfId="0" applyFont="1" applyFill="1" applyBorder="1" applyAlignment="1">
      <alignment vertical="top" wrapText="1"/>
    </xf>
    <xf numFmtId="0" fontId="33" fillId="2" borderId="56" xfId="0" applyFont="1" applyFill="1" applyBorder="1" applyAlignment="1">
      <alignment vertical="top" wrapText="1"/>
    </xf>
    <xf numFmtId="0" fontId="33" fillId="2" borderId="57" xfId="0" applyFont="1" applyFill="1" applyBorder="1" applyAlignment="1">
      <alignment vertical="top" wrapText="1"/>
    </xf>
    <xf numFmtId="0" fontId="33" fillId="2" borderId="97" xfId="0" applyFont="1" applyFill="1" applyBorder="1" applyAlignment="1">
      <alignment vertical="top" wrapText="1"/>
    </xf>
    <xf numFmtId="0" fontId="33" fillId="2" borderId="5" xfId="0" applyFont="1" applyFill="1" applyBorder="1" applyAlignment="1">
      <alignment vertical="top" wrapText="1"/>
    </xf>
    <xf numFmtId="0" fontId="33" fillId="2" borderId="6" xfId="0" applyFont="1" applyFill="1" applyBorder="1" applyAlignment="1">
      <alignment vertical="top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60" xfId="0" applyFont="1" applyFill="1" applyBorder="1" applyAlignment="1">
      <alignment horizontal="center" vertical="center" wrapText="1"/>
    </xf>
    <xf numFmtId="0" fontId="11" fillId="0" borderId="94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5" fillId="10" borderId="94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0" fontId="5" fillId="10" borderId="41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>
      <alignment horizontal="left" vertical="center" wrapText="1"/>
    </xf>
    <xf numFmtId="164" fontId="5" fillId="2" borderId="19" xfId="2" applyNumberFormat="1" applyFont="1" applyFill="1" applyBorder="1" applyAlignment="1" applyProtection="1">
      <alignment horizontal="center" vertical="center" wrapText="1"/>
    </xf>
    <xf numFmtId="164" fontId="5" fillId="2" borderId="20" xfId="2" applyNumberFormat="1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164" fontId="5" fillId="2" borderId="18" xfId="2" applyNumberFormat="1" applyFont="1" applyFill="1" applyBorder="1" applyAlignment="1" applyProtection="1">
      <alignment horizontal="center" vertical="center" wrapText="1"/>
    </xf>
    <xf numFmtId="164" fontId="5" fillId="2" borderId="21" xfId="2" applyNumberFormat="1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164" fontId="6" fillId="2" borderId="50" xfId="2" applyNumberFormat="1" applyFont="1" applyFill="1" applyBorder="1" applyAlignment="1">
      <alignment horizontal="center" vertical="center" wrapText="1"/>
    </xf>
    <xf numFmtId="164" fontId="6" fillId="2" borderId="52" xfId="2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9" fillId="0" borderId="32" xfId="3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9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5" fontId="5" fillId="0" borderId="5" xfId="0" applyNumberFormat="1" applyFont="1" applyBorder="1" applyAlignment="1">
      <alignment horizontal="center" vertical="center" wrapText="1"/>
    </xf>
    <xf numFmtId="15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2" borderId="9" xfId="0" applyFill="1" applyBorder="1" applyAlignment="1"/>
    <xf numFmtId="0" fontId="10" fillId="10" borderId="100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35" xfId="3" applyFont="1" applyFill="1" applyBorder="1" applyAlignment="1" applyProtection="1">
      <alignment horizontal="center" vertical="center" wrapText="1"/>
      <protection locked="0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36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168" fontId="4" fillId="0" borderId="76" xfId="2" applyNumberFormat="1" applyFont="1" applyFill="1" applyBorder="1" applyAlignment="1">
      <alignment horizontal="center" vertical="center" wrapText="1"/>
    </xf>
    <xf numFmtId="168" fontId="4" fillId="0" borderId="84" xfId="2" applyNumberFormat="1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167" fontId="19" fillId="5" borderId="65" xfId="1" applyNumberFormat="1" applyFont="1" applyFill="1" applyBorder="1" applyAlignment="1" applyProtection="1">
      <alignment horizontal="center" vertical="center" wrapText="1"/>
      <protection hidden="1"/>
    </xf>
    <xf numFmtId="167" fontId="19" fillId="5" borderId="6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5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168" fontId="4" fillId="0" borderId="75" xfId="2" applyNumberFormat="1" applyFont="1" applyFill="1" applyBorder="1" applyAlignment="1">
      <alignment horizontal="center" vertical="center" wrapText="1"/>
    </xf>
    <xf numFmtId="168" fontId="4" fillId="0" borderId="83" xfId="2" applyNumberFormat="1" applyFont="1" applyFill="1" applyBorder="1" applyAlignment="1">
      <alignment horizontal="center" vertical="center" wrapText="1"/>
    </xf>
    <xf numFmtId="168" fontId="4" fillId="0" borderId="77" xfId="2" applyNumberFormat="1" applyFont="1" applyFill="1" applyBorder="1" applyAlignment="1">
      <alignment horizontal="center" vertical="center" wrapText="1"/>
    </xf>
    <xf numFmtId="168" fontId="4" fillId="0" borderId="85" xfId="2" applyNumberFormat="1" applyFont="1" applyFill="1" applyBorder="1" applyAlignment="1">
      <alignment horizontal="center" vertical="center" wrapText="1"/>
    </xf>
    <xf numFmtId="0" fontId="23" fillId="6" borderId="101" xfId="0" applyFont="1" applyFill="1" applyBorder="1" applyAlignment="1">
      <alignment horizontal="left"/>
    </xf>
    <xf numFmtId="0" fontId="23" fillId="6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64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167" fontId="4" fillId="2" borderId="68" xfId="1" applyNumberFormat="1" applyFont="1" applyFill="1" applyBorder="1" applyAlignment="1">
      <alignment horizontal="center" vertical="center"/>
    </xf>
    <xf numFmtId="167" fontId="4" fillId="2" borderId="69" xfId="1" applyNumberFormat="1" applyFont="1" applyFill="1" applyBorder="1" applyAlignment="1">
      <alignment horizontal="center" vertical="center"/>
    </xf>
    <xf numFmtId="167" fontId="4" fillId="2" borderId="70" xfId="1" applyNumberFormat="1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167" fontId="19" fillId="5" borderId="68" xfId="1" applyNumberFormat="1" applyFont="1" applyFill="1" applyBorder="1" applyAlignment="1" applyProtection="1">
      <alignment horizontal="center" vertical="center" wrapText="1"/>
      <protection hidden="1"/>
    </xf>
    <xf numFmtId="167" fontId="19" fillId="5" borderId="70" xfId="1" applyNumberFormat="1" applyFont="1" applyFill="1" applyBorder="1" applyAlignment="1" applyProtection="1">
      <alignment horizontal="center" vertical="center" wrapText="1"/>
      <protection hidden="1"/>
    </xf>
    <xf numFmtId="0" fontId="5" fillId="6" borderId="103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  <xf numFmtId="0" fontId="5" fillId="0" borderId="53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4" fillId="6" borderId="101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102" xfId="0" applyFont="1" applyFill="1" applyBorder="1" applyAlignment="1">
      <alignment horizontal="left" vertical="center"/>
    </xf>
    <xf numFmtId="0" fontId="4" fillId="6" borderId="103" xfId="0" applyFont="1" applyFill="1" applyBorder="1" applyAlignment="1">
      <alignment horizontal="left" vertical="center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99" xfId="0" applyFont="1" applyBorder="1" applyAlignment="1" applyProtection="1">
      <alignment horizontal="left" vertical="center" wrapText="1"/>
      <protection locked="0"/>
    </xf>
    <xf numFmtId="165" fontId="5" fillId="0" borderId="91" xfId="2" applyFont="1" applyFill="1" applyBorder="1" applyAlignment="1">
      <alignment horizontal="center" vertical="center"/>
    </xf>
    <xf numFmtId="165" fontId="5" fillId="0" borderId="93" xfId="2" applyFont="1" applyFill="1" applyBorder="1" applyAlignment="1">
      <alignment horizontal="center" vertical="center"/>
    </xf>
    <xf numFmtId="165" fontId="5" fillId="0" borderId="57" xfId="2" applyFont="1" applyFill="1" applyBorder="1" applyAlignment="1">
      <alignment horizontal="center" vertical="center"/>
    </xf>
    <xf numFmtId="168" fontId="10" fillId="5" borderId="11" xfId="2" applyNumberFormat="1" applyFont="1" applyFill="1" applyBorder="1" applyAlignment="1" applyProtection="1">
      <alignment horizontal="center" vertical="center"/>
      <protection hidden="1"/>
    </xf>
    <xf numFmtId="168" fontId="10" fillId="5" borderId="13" xfId="2" applyNumberFormat="1" applyFont="1" applyFill="1" applyBorder="1" applyAlignment="1" applyProtection="1">
      <alignment horizontal="center" vertical="center"/>
      <protection hidden="1"/>
    </xf>
    <xf numFmtId="0" fontId="4" fillId="0" borderId="9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/>
    </xf>
    <xf numFmtId="168" fontId="4" fillId="0" borderId="12" xfId="0" applyNumberFormat="1" applyFont="1" applyBorder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168" fontId="19" fillId="0" borderId="11" xfId="0" applyNumberFormat="1" applyFont="1" applyBorder="1" applyAlignment="1">
      <alignment horizontal="center" vertical="center"/>
    </xf>
    <xf numFmtId="168" fontId="19" fillId="0" borderId="12" xfId="0" applyNumberFormat="1" applyFont="1" applyBorder="1" applyAlignment="1">
      <alignment horizontal="center" vertical="center"/>
    </xf>
    <xf numFmtId="168" fontId="19" fillId="0" borderId="13" xfId="0" applyNumberFormat="1" applyFont="1" applyBorder="1" applyAlignment="1">
      <alignment horizontal="center" vertical="center"/>
    </xf>
    <xf numFmtId="0" fontId="19" fillId="5" borderId="9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" fillId="5" borderId="9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165" fontId="10" fillId="0" borderId="91" xfId="2" applyFont="1" applyFill="1" applyBorder="1" applyAlignment="1">
      <alignment horizontal="center" vertical="center"/>
    </xf>
    <xf numFmtId="165" fontId="10" fillId="0" borderId="93" xfId="2" applyFont="1" applyFill="1" applyBorder="1" applyAlignment="1">
      <alignment horizontal="center" vertical="center"/>
    </xf>
    <xf numFmtId="165" fontId="10" fillId="0" borderId="57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4" fillId="8" borderId="9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99" xfId="0" applyFont="1" applyBorder="1" applyAlignment="1" applyProtection="1">
      <alignment horizontal="left" vertical="center" wrapText="1"/>
      <protection locked="0"/>
    </xf>
    <xf numFmtId="0" fontId="19" fillId="0" borderId="95" xfId="0" applyFont="1" applyBorder="1" applyAlignment="1">
      <alignment horizontal="right" vertical="center" wrapText="1"/>
    </xf>
    <xf numFmtId="0" fontId="19" fillId="0" borderId="96" xfId="0" applyFont="1" applyBorder="1" applyAlignment="1">
      <alignment horizontal="right" vertical="center" wrapText="1"/>
    </xf>
    <xf numFmtId="0" fontId="19" fillId="0" borderId="97" xfId="0" applyFont="1" applyBorder="1" applyAlignment="1">
      <alignment horizontal="right" vertical="center" wrapText="1"/>
    </xf>
    <xf numFmtId="0" fontId="4" fillId="0" borderId="95" xfId="0" applyFont="1" applyBorder="1" applyAlignment="1">
      <alignment horizontal="right" vertical="center" wrapText="1"/>
    </xf>
    <xf numFmtId="0" fontId="4" fillId="0" borderId="96" xfId="0" applyFont="1" applyBorder="1" applyAlignment="1">
      <alignment horizontal="right" vertical="center" wrapText="1"/>
    </xf>
    <xf numFmtId="0" fontId="4" fillId="0" borderId="97" xfId="0" applyFont="1" applyBorder="1" applyAlignment="1">
      <alignment horizontal="right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10" fillId="0" borderId="100" xfId="0" applyFont="1" applyBorder="1" applyAlignment="1" applyProtection="1">
      <alignment horizontal="center" vertical="center" wrapText="1"/>
      <protection locked="0"/>
    </xf>
    <xf numFmtId="0" fontId="4" fillId="5" borderId="68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168" fontId="5" fillId="2" borderId="112" xfId="0" applyNumberFormat="1" applyFont="1" applyFill="1" applyBorder="1" applyAlignment="1">
      <alignment horizontal="center" vertical="center"/>
    </xf>
    <xf numFmtId="168" fontId="5" fillId="2" borderId="113" xfId="0" applyNumberFormat="1" applyFont="1" applyFill="1" applyBorder="1" applyAlignment="1">
      <alignment horizontal="center" vertical="center"/>
    </xf>
    <xf numFmtId="168" fontId="5" fillId="2" borderId="85" xfId="0" applyNumberFormat="1" applyFont="1" applyFill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1" fillId="0" borderId="110" xfId="0" applyFont="1" applyBorder="1" applyAlignment="1">
      <alignment horizontal="center" vertical="center"/>
    </xf>
    <xf numFmtId="0" fontId="31" fillId="0" borderId="111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 wrapText="1"/>
    </xf>
    <xf numFmtId="0" fontId="19" fillId="0" borderId="106" xfId="0" applyFont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116" xfId="0" applyFont="1" applyBorder="1" applyAlignment="1">
      <alignment horizontal="center" vertical="center" wrapText="1"/>
    </xf>
    <xf numFmtId="0" fontId="30" fillId="0" borderId="118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 wrapText="1"/>
    </xf>
    <xf numFmtId="0" fontId="19" fillId="0" borderId="115" xfId="0" applyFont="1" applyBorder="1" applyAlignment="1">
      <alignment horizontal="center" vertical="center" wrapText="1"/>
    </xf>
    <xf numFmtId="0" fontId="31" fillId="0" borderId="116" xfId="0" applyFont="1" applyBorder="1" applyAlignment="1">
      <alignment horizontal="center" vertical="center" wrapText="1"/>
    </xf>
    <xf numFmtId="0" fontId="31" fillId="0" borderId="118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Porcentaje" xfId="4" builtin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D47"/>
      <color rgb="FFECF5E7"/>
      <color rgb="FFFFFAEB"/>
      <color rgb="FFD9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0</xdr:col>
      <xdr:colOff>1304925</xdr:colOff>
      <xdr:row>1</xdr:row>
      <xdr:rowOff>285750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1114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ROGRAMAS%20VIE/formularioRegistroPropuestasInv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Tabla Personal"/>
      <sheetName val="Tablas Presupuesto Detallado"/>
      <sheetName val="Tabla Presupuesto Global"/>
      <sheetName val="Grupos-UIS"/>
      <sheetName val="Hoja1"/>
      <sheetName val="Listas"/>
      <sheetName val="Hoja2"/>
    </sheetNames>
    <sheetDataSet>
      <sheetData sheetId="0">
        <row r="5">
          <cell r="B5" t="str">
            <v>CAPITAL SEMILLA</v>
          </cell>
        </row>
      </sheetData>
      <sheetData sheetId="1">
        <row r="4">
          <cell r="O4">
            <v>816000</v>
          </cell>
        </row>
        <row r="5">
          <cell r="O5">
            <v>1336000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</sheetData>
      <sheetData sheetId="2">
        <row r="96">
          <cell r="F96">
            <v>0</v>
          </cell>
        </row>
      </sheetData>
      <sheetData sheetId="3">
        <row r="6">
          <cell r="K6" t="str">
            <v>MODALIDAD MAYOR CUANTÍA</v>
          </cell>
        </row>
      </sheetData>
      <sheetData sheetId="4"/>
      <sheetData sheetId="5"/>
      <sheetData sheetId="6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A5" t="str">
            <v>SI</v>
          </cell>
          <cell r="C5">
            <v>4</v>
          </cell>
        </row>
        <row r="6">
          <cell r="A6" t="str">
            <v>NO</v>
          </cell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22">
          <cell r="A22" t="str">
            <v>Asesor</v>
          </cell>
        </row>
        <row r="23">
          <cell r="A23" t="str">
            <v>Coinvestigador</v>
          </cell>
        </row>
        <row r="24">
          <cell r="A24" t="str">
            <v>Estudiante Doctorado</v>
          </cell>
        </row>
        <row r="25">
          <cell r="A25" t="str">
            <v>Estudiante Maestría</v>
          </cell>
        </row>
        <row r="26">
          <cell r="A26" t="str">
            <v>Estudiante Especialización</v>
          </cell>
        </row>
        <row r="27">
          <cell r="A27" t="str">
            <v>Estudiante Pregrado</v>
          </cell>
        </row>
        <row r="28">
          <cell r="A28" t="str">
            <v>Auxiliar de Investigación</v>
          </cell>
        </row>
        <row r="29">
          <cell r="A29" t="str">
            <v>Técnico</v>
          </cell>
        </row>
        <row r="30">
          <cell r="A30" t="str">
            <v>Profesional</v>
          </cell>
        </row>
        <row r="31">
          <cell r="A31" t="str">
            <v>Otro</v>
          </cell>
        </row>
        <row r="45">
          <cell r="A45" t="str">
            <v>MICROEMPRESAS</v>
          </cell>
        </row>
        <row r="46">
          <cell r="A46" t="str">
            <v>PyMES</v>
          </cell>
        </row>
        <row r="47">
          <cell r="A47" t="str">
            <v>GRANDES EMPRESAS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"/>
  <sheetViews>
    <sheetView tabSelected="1" workbookViewId="0">
      <selection activeCell="I1" sqref="I1"/>
    </sheetView>
  </sheetViews>
  <sheetFormatPr baseColWidth="10" defaultColWidth="11.453125" defaultRowHeight="14.5" x14ac:dyDescent="0.35"/>
  <cols>
    <col min="1" max="1" width="22.7265625" customWidth="1"/>
    <col min="3" max="3" width="16.81640625" customWidth="1"/>
    <col min="4" max="4" width="13" customWidth="1"/>
    <col min="5" max="5" width="13.1796875" customWidth="1"/>
    <col min="6" max="6" width="27.81640625" customWidth="1"/>
    <col min="7" max="7" width="8.453125" customWidth="1"/>
    <col min="8" max="8" width="11" customWidth="1"/>
  </cols>
  <sheetData>
    <row r="1" spans="1:14" ht="33.75" customHeight="1" thickTop="1" x14ac:dyDescent="0.35">
      <c r="A1" s="308"/>
      <c r="B1" s="310" t="s">
        <v>0</v>
      </c>
      <c r="C1" s="310"/>
      <c r="D1" s="310"/>
      <c r="E1" s="310"/>
      <c r="F1" s="310"/>
      <c r="G1" s="311" t="s">
        <v>1</v>
      </c>
      <c r="H1" s="312"/>
      <c r="I1" s="1"/>
      <c r="J1" s="1"/>
      <c r="K1" s="1"/>
      <c r="L1" s="1"/>
      <c r="M1" s="1"/>
      <c r="N1" s="1"/>
    </row>
    <row r="2" spans="1:14" ht="27" customHeight="1" thickBot="1" x14ac:dyDescent="0.4">
      <c r="A2" s="309"/>
      <c r="B2" s="313" t="s">
        <v>2</v>
      </c>
      <c r="C2" s="313"/>
      <c r="D2" s="313"/>
      <c r="E2" s="313"/>
      <c r="F2" s="313"/>
      <c r="G2" s="314">
        <v>44585</v>
      </c>
      <c r="H2" s="315"/>
      <c r="I2" s="1"/>
      <c r="J2" s="1"/>
      <c r="K2" s="1"/>
      <c r="L2" s="1"/>
      <c r="M2" s="1"/>
      <c r="N2" s="1"/>
    </row>
    <row r="3" spans="1:14" ht="15.5" thickTop="1" thickBot="1" x14ac:dyDescent="0.4">
      <c r="A3" s="316"/>
      <c r="B3" s="316"/>
      <c r="C3" s="316"/>
      <c r="D3" s="316"/>
      <c r="E3" s="316"/>
      <c r="F3" s="316"/>
      <c r="G3" s="316"/>
      <c r="H3" s="316"/>
      <c r="I3" s="1"/>
      <c r="J3" s="1"/>
      <c r="K3" s="1"/>
      <c r="L3" s="1"/>
      <c r="M3" s="1"/>
      <c r="N3" s="1"/>
    </row>
    <row r="4" spans="1:14" ht="15" thickTop="1" x14ac:dyDescent="0.35">
      <c r="A4" s="317" t="s">
        <v>3</v>
      </c>
      <c r="B4" s="318"/>
      <c r="C4" s="318"/>
      <c r="D4" s="318"/>
      <c r="E4" s="318"/>
      <c r="F4" s="318"/>
      <c r="G4" s="318"/>
      <c r="H4" s="319"/>
      <c r="I4" s="1"/>
      <c r="J4" s="1"/>
      <c r="K4" s="1"/>
      <c r="M4" s="1"/>
      <c r="N4" s="1"/>
    </row>
    <row r="5" spans="1:14" ht="36" x14ac:dyDescent="0.35">
      <c r="A5" s="2" t="s">
        <v>4</v>
      </c>
      <c r="B5" s="253" t="s">
        <v>314</v>
      </c>
      <c r="C5" s="254"/>
      <c r="D5" s="255"/>
      <c r="E5" s="255"/>
      <c r="F5" s="255"/>
      <c r="G5" s="255"/>
      <c r="H5" s="255"/>
      <c r="I5" s="3"/>
      <c r="J5" s="1"/>
      <c r="K5" s="1"/>
      <c r="M5" s="1"/>
      <c r="N5" s="1"/>
    </row>
    <row r="6" spans="1:14" ht="36" x14ac:dyDescent="0.35">
      <c r="A6" s="2" t="s">
        <v>5</v>
      </c>
      <c r="B6" s="253" t="s">
        <v>193</v>
      </c>
      <c r="C6" s="254"/>
      <c r="D6" s="255"/>
      <c r="E6" s="255"/>
      <c r="F6" s="255"/>
      <c r="G6" s="255"/>
      <c r="H6" s="320"/>
      <c r="I6" s="3"/>
      <c r="J6" s="1"/>
      <c r="K6" s="1"/>
      <c r="M6" s="1"/>
      <c r="N6" s="1"/>
    </row>
    <row r="7" spans="1:14" ht="48" customHeight="1" x14ac:dyDescent="0.35">
      <c r="A7" s="261" t="s">
        <v>6</v>
      </c>
      <c r="B7" s="282" t="s">
        <v>7</v>
      </c>
      <c r="C7" s="282"/>
      <c r="D7" s="291"/>
      <c r="E7" s="291"/>
      <c r="F7" s="291"/>
      <c r="G7" s="291"/>
      <c r="H7" s="292"/>
      <c r="I7" s="1"/>
      <c r="J7" s="1"/>
      <c r="K7" s="1"/>
      <c r="M7" s="1"/>
      <c r="N7" s="1"/>
    </row>
    <row r="8" spans="1:14" ht="41.25" customHeight="1" x14ac:dyDescent="0.35">
      <c r="A8" s="262"/>
      <c r="B8" s="279" t="s">
        <v>8</v>
      </c>
      <c r="C8" s="279"/>
      <c r="D8" s="291"/>
      <c r="E8" s="291"/>
      <c r="F8" s="291"/>
      <c r="G8" s="291"/>
      <c r="H8" s="292"/>
      <c r="I8" s="1"/>
      <c r="J8" s="1"/>
      <c r="K8" s="1"/>
      <c r="M8" s="1"/>
      <c r="N8" s="1"/>
    </row>
    <row r="9" spans="1:14" ht="73.5" customHeight="1" x14ac:dyDescent="0.35">
      <c r="A9" s="262"/>
      <c r="B9" s="256" t="s">
        <v>248</v>
      </c>
      <c r="C9" s="257"/>
      <c r="D9" s="258" t="s">
        <v>216</v>
      </c>
      <c r="E9" s="259"/>
      <c r="F9" s="259"/>
      <c r="G9" s="259"/>
      <c r="H9" s="260"/>
      <c r="I9" s="1"/>
      <c r="J9" s="1"/>
      <c r="K9" s="1"/>
      <c r="M9" s="1"/>
      <c r="N9" s="1"/>
    </row>
    <row r="10" spans="1:14" ht="64.5" customHeight="1" x14ac:dyDescent="0.35">
      <c r="A10" s="262"/>
      <c r="B10" s="256" t="s">
        <v>297</v>
      </c>
      <c r="C10" s="257"/>
      <c r="D10" s="258" t="s">
        <v>193</v>
      </c>
      <c r="E10" s="259"/>
      <c r="F10" s="259"/>
      <c r="G10" s="259"/>
      <c r="H10" s="260"/>
      <c r="I10" s="1"/>
      <c r="J10" s="1"/>
      <c r="K10" s="1"/>
      <c r="L10" s="1"/>
      <c r="M10" s="1"/>
      <c r="N10" s="1"/>
    </row>
    <row r="11" spans="1:14" ht="96.75" customHeight="1" x14ac:dyDescent="0.35">
      <c r="A11" s="262"/>
      <c r="B11" s="256" t="s">
        <v>298</v>
      </c>
      <c r="C11" s="257"/>
      <c r="D11" s="258" t="s">
        <v>193</v>
      </c>
      <c r="E11" s="259"/>
      <c r="F11" s="259"/>
      <c r="G11" s="259"/>
      <c r="H11" s="260"/>
      <c r="I11" s="1"/>
      <c r="J11" s="1"/>
      <c r="K11" s="1"/>
      <c r="L11" s="1"/>
      <c r="M11" s="1"/>
      <c r="N11" s="1"/>
    </row>
    <row r="12" spans="1:14" ht="86.25" customHeight="1" x14ac:dyDescent="0.35">
      <c r="A12" s="262"/>
      <c r="B12" s="256" t="s">
        <v>315</v>
      </c>
      <c r="C12" s="257"/>
      <c r="D12" s="258" t="s">
        <v>306</v>
      </c>
      <c r="E12" s="259"/>
      <c r="F12" s="259"/>
      <c r="G12" s="259"/>
      <c r="H12" s="260"/>
      <c r="I12" s="1"/>
      <c r="J12" s="1"/>
      <c r="K12" s="1"/>
      <c r="L12" s="1"/>
      <c r="M12" s="1"/>
      <c r="N12" s="1"/>
    </row>
    <row r="13" spans="1:14" ht="69" customHeight="1" x14ac:dyDescent="0.35">
      <c r="A13" s="262"/>
      <c r="B13" s="256" t="s">
        <v>316</v>
      </c>
      <c r="C13" s="257"/>
      <c r="D13" s="258" t="s">
        <v>313</v>
      </c>
      <c r="E13" s="259"/>
      <c r="F13" s="259"/>
      <c r="G13" s="259"/>
      <c r="H13" s="260"/>
      <c r="I13" s="1"/>
      <c r="J13" s="1"/>
      <c r="K13" s="1"/>
      <c r="L13" s="1"/>
      <c r="M13" s="1"/>
      <c r="N13" s="1"/>
    </row>
    <row r="14" spans="1:14" ht="79.5" customHeight="1" x14ac:dyDescent="0.35">
      <c r="A14" s="262"/>
      <c r="B14" s="321" t="s">
        <v>9</v>
      </c>
      <c r="C14" s="321"/>
      <c r="D14" s="291"/>
      <c r="E14" s="291"/>
      <c r="F14" s="291"/>
      <c r="G14" s="291"/>
      <c r="H14" s="292"/>
      <c r="I14" s="1"/>
      <c r="J14" s="1"/>
      <c r="K14" s="1"/>
      <c r="L14" s="1"/>
      <c r="M14" s="1"/>
      <c r="N14" s="1"/>
    </row>
    <row r="15" spans="1:14" ht="41.25" customHeight="1" x14ac:dyDescent="0.35">
      <c r="A15" s="262"/>
      <c r="B15" s="279" t="s">
        <v>10</v>
      </c>
      <c r="C15" s="279"/>
      <c r="D15" s="291"/>
      <c r="E15" s="291"/>
      <c r="F15" s="291"/>
      <c r="G15" s="291"/>
      <c r="H15" s="292"/>
      <c r="I15" s="1" t="str">
        <f>IF(((B6="MODALIDAD MAYOR CUANTÍA")*AND(D16&gt;36)),"Duración máxima Modalidad Mayor Cuantía: 36 meses", IF(((OR(B6="CAPITAL SEMILLA",B6="ABIERTA O LIBRE SIN FINANCIACIÓN"))*AND(D16&gt;12)),"Duración Máxima Modalidad: 12 Meses", IF(((B6="ABIERTA O LIBRE CON FINANCIACIÓN")*AND(D16&gt;18)),"Duración máxima Modalidad Abierta con financiación: 18 meses","")))</f>
        <v/>
      </c>
      <c r="J15" s="1"/>
      <c r="K15" s="1"/>
      <c r="L15" s="1"/>
      <c r="M15" s="1"/>
      <c r="N15" s="1"/>
    </row>
    <row r="16" spans="1:14" ht="28.5" customHeight="1" x14ac:dyDescent="0.35">
      <c r="A16" s="263"/>
      <c r="B16" s="322" t="s">
        <v>11</v>
      </c>
      <c r="C16" s="323"/>
      <c r="D16" s="270"/>
      <c r="E16" s="271"/>
      <c r="F16" s="271"/>
      <c r="G16" s="324" t="s">
        <v>12</v>
      </c>
      <c r="H16" s="325"/>
      <c r="I16" s="1"/>
      <c r="J16" s="1"/>
      <c r="K16" s="1"/>
      <c r="L16" s="1"/>
      <c r="M16" s="1"/>
      <c r="N16" s="1"/>
    </row>
    <row r="17" spans="1:15" ht="27.75" customHeight="1" x14ac:dyDescent="0.35">
      <c r="A17" s="261" t="s">
        <v>13</v>
      </c>
      <c r="B17" s="282" t="s">
        <v>14</v>
      </c>
      <c r="C17" s="282"/>
      <c r="D17" s="287"/>
      <c r="E17" s="288"/>
      <c r="F17" s="288"/>
      <c r="G17" s="288"/>
      <c r="H17" s="289"/>
      <c r="I17" s="1"/>
      <c r="J17" s="1"/>
      <c r="K17" s="1"/>
      <c r="L17" s="1"/>
      <c r="M17" s="1"/>
      <c r="N17" s="1"/>
    </row>
    <row r="18" spans="1:15" x14ac:dyDescent="0.35">
      <c r="A18" s="262"/>
      <c r="B18" s="279" t="s">
        <v>15</v>
      </c>
      <c r="C18" s="279"/>
      <c r="D18" s="290"/>
      <c r="E18" s="291"/>
      <c r="F18" s="291"/>
      <c r="G18" s="291"/>
      <c r="H18" s="292"/>
      <c r="I18" s="1"/>
      <c r="J18" s="1"/>
      <c r="K18" s="1"/>
      <c r="L18" s="1"/>
      <c r="M18" s="1"/>
      <c r="N18" s="1"/>
    </row>
    <row r="19" spans="1:15" ht="25" x14ac:dyDescent="0.35">
      <c r="A19" s="262"/>
      <c r="B19" s="279" t="s">
        <v>16</v>
      </c>
      <c r="C19" s="279"/>
      <c r="D19" s="296"/>
      <c r="E19" s="297"/>
      <c r="F19" s="209" t="s">
        <v>17</v>
      </c>
      <c r="G19" s="297"/>
      <c r="H19" s="298"/>
      <c r="I19" s="1"/>
      <c r="J19" s="1"/>
      <c r="K19" s="1"/>
      <c r="L19" s="1"/>
      <c r="M19" s="1"/>
      <c r="N19" s="1"/>
    </row>
    <row r="20" spans="1:15" x14ac:dyDescent="0.35">
      <c r="A20" s="262"/>
      <c r="B20" s="299" t="s">
        <v>18</v>
      </c>
      <c r="C20" s="300"/>
      <c r="D20" s="326" t="s">
        <v>19</v>
      </c>
      <c r="E20" s="327"/>
      <c r="F20" s="328" t="s">
        <v>20</v>
      </c>
      <c r="G20" s="329"/>
      <c r="H20" s="330"/>
      <c r="I20" s="1"/>
      <c r="J20" s="1"/>
      <c r="K20" s="1"/>
      <c r="L20" s="1"/>
      <c r="M20" s="1"/>
      <c r="N20" s="1"/>
    </row>
    <row r="21" spans="1:15" x14ac:dyDescent="0.35">
      <c r="A21" s="262"/>
      <c r="B21" s="266"/>
      <c r="C21" s="267"/>
      <c r="D21" s="293"/>
      <c r="E21" s="294"/>
      <c r="F21" s="294"/>
      <c r="G21" s="294"/>
      <c r="H21" s="295"/>
      <c r="I21" s="1"/>
      <c r="J21" s="1"/>
      <c r="K21" s="1"/>
      <c r="L21" s="1"/>
      <c r="M21" s="1"/>
      <c r="N21" s="1"/>
    </row>
    <row r="22" spans="1:15" x14ac:dyDescent="0.35">
      <c r="A22" s="262"/>
      <c r="B22" s="266"/>
      <c r="C22" s="267"/>
      <c r="D22" s="297"/>
      <c r="E22" s="293"/>
      <c r="F22" s="331"/>
      <c r="G22" s="297"/>
      <c r="H22" s="298"/>
      <c r="I22" s="1"/>
      <c r="J22" s="1"/>
      <c r="K22" s="1"/>
      <c r="L22" s="1"/>
      <c r="M22" s="1"/>
      <c r="N22" s="1"/>
    </row>
    <row r="23" spans="1:15" x14ac:dyDescent="0.35">
      <c r="A23" s="262"/>
      <c r="B23" s="266"/>
      <c r="C23" s="267"/>
      <c r="D23" s="293"/>
      <c r="E23" s="294"/>
      <c r="F23" s="294"/>
      <c r="G23" s="294"/>
      <c r="H23" s="295"/>
      <c r="I23" s="1"/>
      <c r="J23" s="1"/>
      <c r="K23" s="1"/>
      <c r="L23" s="1"/>
      <c r="M23" s="1"/>
      <c r="N23" s="1"/>
    </row>
    <row r="24" spans="1:15" x14ac:dyDescent="0.35">
      <c r="A24" s="262"/>
      <c r="B24" s="301"/>
      <c r="C24" s="302"/>
      <c r="D24" s="293"/>
      <c r="E24" s="294"/>
      <c r="F24" s="294"/>
      <c r="G24" s="294"/>
      <c r="H24" s="295"/>
      <c r="I24" s="1"/>
      <c r="J24" s="1"/>
      <c r="K24" s="1"/>
      <c r="L24" s="1"/>
      <c r="M24" s="1"/>
      <c r="N24" s="1"/>
    </row>
    <row r="25" spans="1:15" ht="42.75" customHeight="1" x14ac:dyDescent="0.35">
      <c r="A25" s="262"/>
      <c r="B25" s="268" t="s">
        <v>21</v>
      </c>
      <c r="C25" s="269"/>
      <c r="D25" s="332"/>
      <c r="E25" s="333"/>
      <c r="F25" s="333"/>
      <c r="G25" s="333"/>
      <c r="H25" s="334"/>
      <c r="I25" s="304"/>
      <c r="J25" s="305"/>
      <c r="K25" s="305"/>
      <c r="L25" s="305"/>
      <c r="M25" s="305"/>
      <c r="N25" s="305"/>
      <c r="O25" s="305"/>
    </row>
    <row r="26" spans="1:15" ht="44.25" customHeight="1" x14ac:dyDescent="0.35">
      <c r="A26" s="262"/>
      <c r="B26" s="282" t="s">
        <v>22</v>
      </c>
      <c r="C26" s="282"/>
      <c r="D26" s="306"/>
      <c r="E26" s="307"/>
      <c r="F26" s="307"/>
      <c r="G26" s="307"/>
      <c r="H26" s="287"/>
      <c r="I26" s="3"/>
      <c r="J26" s="1"/>
      <c r="K26" s="1"/>
      <c r="L26" s="1"/>
      <c r="M26" s="1"/>
      <c r="N26" s="1"/>
    </row>
    <row r="27" spans="1:15" ht="42" customHeight="1" x14ac:dyDescent="0.35">
      <c r="A27" s="262"/>
      <c r="B27" s="279" t="s">
        <v>23</v>
      </c>
      <c r="C27" s="279"/>
      <c r="D27" s="291"/>
      <c r="E27" s="291"/>
      <c r="F27" s="291"/>
      <c r="G27" s="291"/>
      <c r="H27" s="292"/>
      <c r="I27" s="3"/>
      <c r="J27" s="1"/>
      <c r="K27" s="1"/>
      <c r="L27" s="1"/>
      <c r="M27" s="1"/>
      <c r="N27" s="1"/>
    </row>
    <row r="28" spans="1:15" ht="19.5" customHeight="1" x14ac:dyDescent="0.35">
      <c r="A28" s="262"/>
      <c r="B28" s="299" t="s">
        <v>24</v>
      </c>
      <c r="C28" s="300"/>
      <c r="D28" s="296"/>
      <c r="E28" s="297"/>
      <c r="F28" s="297"/>
      <c r="G28" s="297"/>
      <c r="H28" s="298"/>
      <c r="I28" s="303"/>
      <c r="J28" s="303"/>
      <c r="K28" s="303"/>
      <c r="L28" s="303"/>
      <c r="M28" s="303"/>
      <c r="N28" s="1"/>
    </row>
    <row r="29" spans="1:15" ht="18.75" customHeight="1" x14ac:dyDescent="0.35">
      <c r="A29" s="262"/>
      <c r="B29" s="266"/>
      <c r="C29" s="267"/>
      <c r="D29" s="296"/>
      <c r="E29" s="297"/>
      <c r="F29" s="297"/>
      <c r="G29" s="297"/>
      <c r="H29" s="298"/>
      <c r="I29" s="4"/>
      <c r="J29" s="5"/>
      <c r="K29" s="5"/>
      <c r="L29" s="5"/>
      <c r="M29" s="5"/>
      <c r="N29" s="1"/>
    </row>
    <row r="30" spans="1:15" ht="17.25" customHeight="1" x14ac:dyDescent="0.35">
      <c r="A30" s="262"/>
      <c r="B30" s="301"/>
      <c r="C30" s="302"/>
      <c r="D30" s="296"/>
      <c r="E30" s="297"/>
      <c r="F30" s="297"/>
      <c r="G30" s="297"/>
      <c r="H30" s="298"/>
      <c r="I30" s="4"/>
      <c r="J30" s="5"/>
      <c r="K30" s="5"/>
      <c r="L30" s="5"/>
      <c r="M30" s="5"/>
      <c r="N30" s="1"/>
    </row>
    <row r="31" spans="1:15" ht="24.75" customHeight="1" x14ac:dyDescent="0.35">
      <c r="A31" s="262"/>
      <c r="B31" s="299" t="s">
        <v>25</v>
      </c>
      <c r="C31" s="300"/>
      <c r="D31" s="296"/>
      <c r="E31" s="297"/>
      <c r="F31" s="297"/>
      <c r="G31" s="297"/>
      <c r="H31" s="298"/>
      <c r="I31" s="4"/>
      <c r="J31" s="5"/>
      <c r="K31" s="5"/>
      <c r="L31" s="5"/>
      <c r="M31" s="5"/>
      <c r="N31" s="1"/>
    </row>
    <row r="32" spans="1:15" ht="19.5" customHeight="1" x14ac:dyDescent="0.35">
      <c r="A32" s="262"/>
      <c r="B32" s="266"/>
      <c r="C32" s="267"/>
      <c r="D32" s="296"/>
      <c r="E32" s="297"/>
      <c r="F32" s="297"/>
      <c r="G32" s="297"/>
      <c r="H32" s="298"/>
      <c r="I32" s="4"/>
      <c r="J32" s="5"/>
      <c r="K32" s="5"/>
      <c r="L32" s="5"/>
      <c r="M32" s="5"/>
      <c r="N32" s="1"/>
    </row>
    <row r="33" spans="1:14" ht="30" customHeight="1" x14ac:dyDescent="0.35">
      <c r="A33" s="262"/>
      <c r="B33" s="266" t="s">
        <v>26</v>
      </c>
      <c r="C33" s="267"/>
      <c r="D33" s="270"/>
      <c r="E33" s="271"/>
      <c r="F33" s="271"/>
      <c r="G33" s="271"/>
      <c r="H33" s="272"/>
      <c r="I33" s="4"/>
      <c r="J33" s="5"/>
      <c r="K33" s="5"/>
      <c r="L33" s="5"/>
      <c r="M33" s="5"/>
      <c r="N33" s="1"/>
    </row>
    <row r="34" spans="1:14" ht="29.25" customHeight="1" x14ac:dyDescent="0.35">
      <c r="A34" s="263"/>
      <c r="B34" s="268"/>
      <c r="C34" s="269"/>
      <c r="D34" s="273"/>
      <c r="E34" s="274"/>
      <c r="F34" s="274"/>
      <c r="G34" s="274"/>
      <c r="H34" s="275"/>
      <c r="I34" s="3"/>
      <c r="J34" s="1"/>
      <c r="K34" s="1"/>
      <c r="L34" s="1"/>
      <c r="M34" s="1"/>
      <c r="N34" s="1"/>
    </row>
    <row r="35" spans="1:14" ht="41.25" customHeight="1" x14ac:dyDescent="0.35">
      <c r="A35" s="261" t="s">
        <v>27</v>
      </c>
      <c r="B35" s="276" t="s">
        <v>28</v>
      </c>
      <c r="C35" s="276"/>
      <c r="D35" s="277">
        <f>'Presupuesto global'!D40</f>
        <v>0</v>
      </c>
      <c r="E35" s="277"/>
      <c r="F35" s="277"/>
      <c r="G35" s="277"/>
      <c r="H35" s="278"/>
      <c r="I35" s="6" t="str">
        <f>IF(((B6="MODALIDAD MAYOR CUANTÍA")*AND(D35&gt;150000000)),"Excede el monto máximo financiable para Modalidad Mayor cuantía", IF(((B6="ABIERTA O LIBRE CON FINANCIACIÓN")*AND(D35&gt;35000000)),"Excede el monto máximo financiable para Modalidad Libre con financiación", IF(((B6="ABIERTA O LIBRE SIN FINANCIACIÓN")*AND(D35&gt;0)),"No aplica financiación para esta modalidad",IF(((B6="CAPITAL SEMILLA")*AND(D35&gt;25000000)),"Excede el Monto Máximo financiable",""))))</f>
        <v/>
      </c>
      <c r="J35" s="6"/>
      <c r="K35" s="6"/>
      <c r="L35" s="6"/>
      <c r="M35" s="6"/>
      <c r="N35" s="1"/>
    </row>
    <row r="36" spans="1:14" ht="30.75" customHeight="1" x14ac:dyDescent="0.35">
      <c r="A36" s="262"/>
      <c r="B36" s="279" t="s">
        <v>29</v>
      </c>
      <c r="C36" s="279"/>
      <c r="D36" s="280">
        <f>'Presupuesto global'!D41</f>
        <v>0</v>
      </c>
      <c r="E36" s="280"/>
      <c r="F36" s="280"/>
      <c r="G36" s="280"/>
      <c r="H36" s="281"/>
      <c r="I36" s="1"/>
      <c r="J36" s="1"/>
      <c r="K36" s="1"/>
      <c r="L36" s="1"/>
      <c r="M36" s="1"/>
      <c r="N36" s="1"/>
    </row>
    <row r="37" spans="1:14" ht="39" customHeight="1" x14ac:dyDescent="0.35">
      <c r="A37" s="262"/>
      <c r="B37" s="279" t="s">
        <v>30</v>
      </c>
      <c r="C37" s="279"/>
      <c r="D37" s="280">
        <f>'Presupuesto global'!D42</f>
        <v>0</v>
      </c>
      <c r="E37" s="280"/>
      <c r="F37" s="280"/>
      <c r="G37" s="280"/>
      <c r="H37" s="281"/>
      <c r="I37" s="283"/>
      <c r="J37" s="6"/>
      <c r="K37" s="6"/>
      <c r="L37" s="6"/>
      <c r="M37" s="6"/>
      <c r="N37" s="1"/>
    </row>
    <row r="38" spans="1:14" ht="38.25" customHeight="1" x14ac:dyDescent="0.35">
      <c r="A38" s="262"/>
      <c r="B38" s="279" t="s">
        <v>31</v>
      </c>
      <c r="C38" s="279"/>
      <c r="D38" s="280">
        <f>'Presupuesto global'!D43</f>
        <v>0</v>
      </c>
      <c r="E38" s="280"/>
      <c r="F38" s="280"/>
      <c r="G38" s="280"/>
      <c r="H38" s="281"/>
      <c r="I38" s="283"/>
      <c r="J38" s="6"/>
      <c r="K38" s="6"/>
      <c r="L38" s="6"/>
      <c r="M38" s="6"/>
      <c r="N38" s="1"/>
    </row>
    <row r="39" spans="1:14" ht="28.5" customHeight="1" x14ac:dyDescent="0.35">
      <c r="A39" s="262"/>
      <c r="B39" s="284" t="s">
        <v>32</v>
      </c>
      <c r="C39" s="284"/>
      <c r="D39" s="285">
        <f>'Presupuesto global'!E44</f>
        <v>0</v>
      </c>
      <c r="E39" s="285"/>
      <c r="F39" s="285"/>
      <c r="G39" s="285"/>
      <c r="H39" s="286"/>
      <c r="I39" s="7"/>
      <c r="J39" s="8"/>
      <c r="K39" s="8"/>
      <c r="L39" s="8"/>
      <c r="M39" s="8"/>
      <c r="N39" s="8"/>
    </row>
    <row r="40" spans="1:14" ht="15" customHeight="1" x14ac:dyDescent="0.35">
      <c r="A40" s="216"/>
      <c r="B40" s="217"/>
      <c r="C40" s="217"/>
      <c r="D40" s="217"/>
      <c r="E40" s="217"/>
      <c r="F40" s="217"/>
      <c r="G40" s="217"/>
      <c r="H40" s="218"/>
      <c r="I40" s="1"/>
      <c r="J40" s="8"/>
      <c r="K40" s="8"/>
      <c r="L40" s="8"/>
      <c r="M40" s="8"/>
      <c r="N40" s="8"/>
    </row>
    <row r="41" spans="1:14" ht="15.5" x14ac:dyDescent="0.35">
      <c r="A41" s="234" t="s">
        <v>33</v>
      </c>
      <c r="B41" s="235"/>
      <c r="C41" s="235"/>
      <c r="D41" s="235"/>
      <c r="E41" s="235"/>
      <c r="F41" s="235"/>
      <c r="G41" s="235"/>
      <c r="H41" s="236"/>
    </row>
    <row r="42" spans="1:14" ht="36" customHeight="1" x14ac:dyDescent="0.35">
      <c r="A42" s="247" t="str">
        <f>IF(AND(B5="CONVOCATORIA DE INVESTIGACIÓN BÁSICA Y ARTICULADA CON EL ENTORNO",B6="INVESTIGACIÓN BÁSICA"),Listas!A16,IF(AND(B5="CONVOCATORIA DE INVESTIGACIÓN BÁSICA Y ARTICULADA CON EL ENTORNO",B6="INVESTIGACIÓN APLICADA"),Listas!A17,IF(AND(B5="CONVOCATORIA DE INVESTIGACIÓN BÁSICA Y ARTICULADA CON EL ENTORNO",B6="DESARROLLO EXPERIMENTAL"),Listas!A18,IF(AND(B5="CONVOCATORIA DE INVESTIGACIÓN BÁSICA Y ARTICULADA CON EL ENTORNO",B6="PROGRAMA ESTRATEGICO DE INVESTIGACIÓN INTERDISCIPLINAR Y APLICADA"),Listas!A19,IF(AND(B5="CONVOCATORIA DE INVESTIGACIÓN GENERANDO ESPÍRITU CIENTÍFICO",B6="INVESTIGACIÓN BÁSICA"),Listas!A20,IF(AND(B5="CONVOCATORIA DE INVESTIGACIÓN GENERANDO ESPÍRITU CIENTÍFICO",B6="INVESTIGACIÓN APLICADA"),Listas!A21,IF(AND(B5="CONVOCATORIA DE INVESTIGACIÓN GENERANDO ESPÍRITU CIENTÍFICO",B6="NO APLICA"),Listas!A22,IF(AND(B5="CONVOCATORIA DE INVESTIGACIÓN POR NUESTRO BIEN-ESTAR ",B6="INVESTIGACIÓN BÁSICA"),Listas!A23,IF(AND(B5="CONVOCATORIA DE INVESTIGACIÓN POR NUESTRO BIEN-ESTAR ",B6="INVESTIGACIÓN APLICADA"),Listas!A24,IF(AND(B5="CONVOCATORIA DE INVESTIGACIÓN POR NUESTRO BIEN-ESTAR ",B6="NO APLICA"),Listas!A25,IF(AND(B5="CONVOCATORIA CAPITAL SEMILLA - DOCENTES EN PERIODO DE PRUEBA",B6="INVESTIGACIÓN BÁSICA"),Listas!A26,IF(AND(B5="CONVOCATORIA CAPITAL SEMILLA - DOCENTES EN PERIODO DE PRUEBA",B6="INVESTIGACIÓN APLICADA"),Listas!A27,IF(AND(B5="CONVOCATORIA CAPITAL SEMILLA - DOCENTES EN PERIODO DE PRUEBA",B6="NO APLICA"),Listas!A28,"SELECCIONE EL NOMBRE DE LA CONVOCATORIA Y NOMBRE CORRECTO DE LA MODALIDAD O EN SU DEFECTO SELECCIONE NO APLICA -SEGUN SEA EL CASO DE LA CONVOCATORIA QUE SELECCIONÓ-")))))))))))))</f>
        <v>• Presentar a la Dirección de Investigación y Extensión de la facultad a la que pertenece el director del proyecto un (1) informe de avance en la mitad del periodo de ejecución y un (1) informe final a la terminación del proyecto (Formulario FIN.51)
• Transcurrido el 50% del tiempo de ejecución del proyecto inicialmente aprobado (sin tener en cuenta las prórrogas), la ejecución presupuestal deberá ser mínimo del 40% del valor total aprobado, en caso contrario, el equipo de investigación quedará inhabilitado para presentar propuestas a las convocatorias del portafolio de la VIE del siguiente año.
• Hasta un año después de finalizado el proyecto, deberá completar el total de 8 puntos en productos académicos señalados en cada convocatoria, de acuerdo con la tabla No. 1. Por lo menos uno de éstos debe corresponder a un producto de generación de nuevo conocimiento relacionado con la temática del proyecto (artículos científicos, libros, capítulos de libro, ponencias en eventos académicos y patentes). Para el caso de los profesores de artes, este requisito puede ser cumplido con los productos artísticos marcados con asterisco en la Tabla No. 1.
• Los productos presentados en cumplimiento de compromisos de una de las convocatorias internas de proyectos (Convocatoria interna de investigación básica y articulada con el entorno: Misión  Colombia  y  Objetivos  de  Desarrollo  sostenible  –ODS-,  Convocatoria  interna  de investigación “generando espíritu científico”) no pueden ser usados para cumplir requisitos de compromisos correspondientes a otras convocatorias internas de proyectos.
• En todos los productos obtenidos (artículos, ponencias, software, trabajos de grado, tesis, etc.), es necesario dar crédito a la Universidad Industrial de Santander, indicando claramente la filiación de los autores, el código o título del proyecto financiado de donde deriva el producto.
• Adicionalmente hasta un año después de finalizado el proyecto, se deberá someter una propuesta de investigación o extensión a una entidad externa, que ofrezca financiación. En el caso de propuesta de investigación, ésta debe estar debidamente avalada por el Comité Operativo de Investigación y Extensión. En el caso de las propuestas de extensión, se debe cumplir con lo establecido en el Acuerdo 103 de 2010. Este compromiso es obligatorio y no es homologable.</v>
      </c>
      <c r="B42" s="248"/>
      <c r="C42" s="248"/>
      <c r="D42" s="248"/>
      <c r="E42" s="248"/>
      <c r="F42" s="248"/>
      <c r="G42" s="248"/>
      <c r="H42" s="249"/>
      <c r="K42" s="9"/>
    </row>
    <row r="43" spans="1:14" ht="213" customHeight="1" thickBot="1" x14ac:dyDescent="0.4">
      <c r="A43" s="250"/>
      <c r="B43" s="251"/>
      <c r="C43" s="251"/>
      <c r="D43" s="251"/>
      <c r="E43" s="251"/>
      <c r="F43" s="251"/>
      <c r="G43" s="251"/>
      <c r="H43" s="252"/>
      <c r="K43" s="9"/>
    </row>
    <row r="44" spans="1:14" ht="15.5" thickTop="1" thickBot="1" x14ac:dyDescent="0.4">
      <c r="A44" s="10"/>
      <c r="B44" s="10"/>
      <c r="C44" s="10"/>
      <c r="D44" s="10"/>
      <c r="E44" s="10"/>
      <c r="F44" s="10"/>
      <c r="G44" s="10"/>
      <c r="H44" s="10"/>
    </row>
    <row r="45" spans="1:14" ht="15" thickTop="1" x14ac:dyDescent="0.35">
      <c r="A45" s="264" t="s">
        <v>34</v>
      </c>
      <c r="B45" s="264"/>
      <c r="C45" s="264"/>
      <c r="D45" s="264"/>
      <c r="E45" s="264"/>
      <c r="F45" s="264"/>
      <c r="G45" s="264"/>
      <c r="H45" s="265"/>
      <c r="I45" s="11"/>
    </row>
    <row r="46" spans="1:14" ht="26" x14ac:dyDescent="0.35">
      <c r="A46" s="242" t="s">
        <v>35</v>
      </c>
      <c r="B46" s="243"/>
      <c r="C46" s="243"/>
      <c r="D46" s="243"/>
      <c r="E46" s="243"/>
      <c r="F46" s="243"/>
      <c r="G46" s="244"/>
      <c r="H46" s="12" t="s">
        <v>36</v>
      </c>
      <c r="I46" s="13"/>
      <c r="J46" s="13"/>
      <c r="K46" s="13"/>
      <c r="L46" s="13"/>
      <c r="M46" s="13"/>
      <c r="N46" s="13"/>
    </row>
    <row r="47" spans="1:14" ht="28.5" customHeight="1" x14ac:dyDescent="0.35">
      <c r="A47" s="237" t="s">
        <v>37</v>
      </c>
      <c r="B47" s="238"/>
      <c r="C47" s="238"/>
      <c r="D47" s="238"/>
      <c r="E47" s="238"/>
      <c r="F47" s="238"/>
      <c r="G47" s="239"/>
      <c r="H47" s="130"/>
      <c r="I47" s="13"/>
      <c r="J47" s="13"/>
      <c r="K47" s="13"/>
      <c r="L47" s="13"/>
      <c r="M47" s="13"/>
      <c r="N47" s="13"/>
    </row>
    <row r="48" spans="1:14" x14ac:dyDescent="0.35">
      <c r="A48" s="14"/>
      <c r="B48" s="15"/>
      <c r="C48" s="15"/>
      <c r="D48" s="15"/>
      <c r="E48" s="15"/>
      <c r="F48" s="15"/>
      <c r="G48" s="15"/>
      <c r="H48" s="16"/>
      <c r="I48" s="13"/>
      <c r="J48" s="13"/>
      <c r="K48" s="13"/>
      <c r="L48" s="13"/>
      <c r="M48" s="13"/>
      <c r="N48" s="13"/>
    </row>
    <row r="49" spans="1:14" x14ac:dyDescent="0.35">
      <c r="A49" s="14"/>
      <c r="B49" s="15"/>
      <c r="C49" s="15"/>
      <c r="D49" s="15"/>
      <c r="E49" s="15"/>
      <c r="F49" s="15"/>
      <c r="G49" s="15"/>
      <c r="H49" s="13"/>
      <c r="I49" s="13"/>
      <c r="J49" s="13"/>
      <c r="K49" s="13"/>
      <c r="L49" s="13"/>
      <c r="M49" s="13"/>
      <c r="N49" s="13"/>
    </row>
    <row r="50" spans="1:14" x14ac:dyDescent="0.35">
      <c r="A50" s="14"/>
      <c r="B50" s="15"/>
      <c r="C50" s="15"/>
      <c r="D50" s="15"/>
      <c r="E50" s="15"/>
      <c r="F50" s="15"/>
      <c r="G50" s="15"/>
      <c r="H50" s="13"/>
      <c r="I50" s="13"/>
      <c r="J50" s="13"/>
      <c r="K50" s="13"/>
      <c r="L50" s="13"/>
      <c r="M50" s="13"/>
      <c r="N50" s="13"/>
    </row>
    <row r="51" spans="1:14" x14ac:dyDescent="0.35">
      <c r="A51" s="14"/>
      <c r="B51" s="15"/>
      <c r="C51" s="15"/>
      <c r="D51" s="15"/>
      <c r="E51" s="15"/>
      <c r="F51" s="15"/>
      <c r="G51" s="15"/>
      <c r="H51" s="13"/>
      <c r="I51" s="13"/>
      <c r="J51" s="13"/>
      <c r="K51" s="13"/>
      <c r="L51" s="13"/>
      <c r="M51" s="13"/>
      <c r="N51" s="13"/>
    </row>
    <row r="52" spans="1:14" x14ac:dyDescent="0.35">
      <c r="A52" s="17"/>
      <c r="B52" s="18"/>
      <c r="C52" s="15"/>
      <c r="D52" s="19"/>
      <c r="E52" s="19"/>
      <c r="F52" s="19"/>
      <c r="H52" s="13"/>
      <c r="L52" s="1"/>
      <c r="M52" s="1"/>
      <c r="N52" s="1"/>
    </row>
    <row r="53" spans="1:14" ht="15" customHeight="1" x14ac:dyDescent="0.35">
      <c r="A53" s="240" t="s">
        <v>38</v>
      </c>
      <c r="B53" s="240"/>
      <c r="C53" s="20"/>
      <c r="D53" s="240" t="s">
        <v>39</v>
      </c>
      <c r="E53" s="240"/>
      <c r="F53" s="240"/>
      <c r="H53" s="20"/>
      <c r="L53" s="1"/>
      <c r="M53" s="1"/>
      <c r="N53" s="1"/>
    </row>
    <row r="54" spans="1:14" x14ac:dyDescent="0.35">
      <c r="A54" s="15" t="s">
        <v>40</v>
      </c>
      <c r="B54" s="33"/>
      <c r="C54" s="33"/>
      <c r="D54" s="15" t="s">
        <v>40</v>
      </c>
      <c r="E54" s="33"/>
      <c r="F54" s="33"/>
      <c r="H54" s="33"/>
      <c r="L54" s="1"/>
      <c r="M54" s="1"/>
      <c r="N54" s="1"/>
    </row>
    <row r="55" spans="1:14" x14ac:dyDescent="0.35">
      <c r="A55" s="15" t="s">
        <v>41</v>
      </c>
      <c r="B55" s="33"/>
      <c r="C55" s="33"/>
      <c r="D55" s="194" t="s">
        <v>42</v>
      </c>
      <c r="E55" s="15"/>
      <c r="F55" s="15"/>
      <c r="H55" s="13"/>
      <c r="L55" s="1"/>
      <c r="M55" s="1"/>
      <c r="N55" s="1"/>
    </row>
    <row r="56" spans="1:14" x14ac:dyDescent="0.35">
      <c r="A56" s="14"/>
      <c r="B56" s="21"/>
      <c r="C56" s="21"/>
      <c r="D56" s="15"/>
      <c r="E56" s="15"/>
      <c r="F56" s="15"/>
      <c r="G56" s="14"/>
      <c r="H56" s="13"/>
      <c r="I56" s="1"/>
      <c r="J56" s="1"/>
      <c r="K56" s="1"/>
      <c r="L56" s="1"/>
      <c r="M56" s="1"/>
      <c r="N56" s="1"/>
    </row>
    <row r="57" spans="1:14" x14ac:dyDescent="0.35">
      <c r="A57" s="14"/>
      <c r="B57" s="21"/>
      <c r="C57" s="21"/>
      <c r="D57" s="15"/>
      <c r="E57" s="15"/>
      <c r="F57" s="15"/>
      <c r="G57" s="14"/>
      <c r="H57" s="13"/>
      <c r="I57" s="1"/>
      <c r="J57" s="1"/>
      <c r="K57" s="1"/>
      <c r="L57" s="1"/>
      <c r="M57" s="1"/>
      <c r="N57" s="1"/>
    </row>
    <row r="58" spans="1:14" x14ac:dyDescent="0.35">
      <c r="A58" s="14"/>
      <c r="B58" s="21"/>
      <c r="C58" s="21"/>
      <c r="D58" s="15"/>
      <c r="E58" s="15"/>
      <c r="F58" s="15"/>
      <c r="G58" s="14"/>
      <c r="H58" s="13"/>
      <c r="M58" s="1"/>
      <c r="N58" s="1"/>
    </row>
    <row r="59" spans="1:14" x14ac:dyDescent="0.35">
      <c r="C59" s="21"/>
      <c r="G59" s="14"/>
      <c r="H59" s="13"/>
      <c r="M59" s="1"/>
      <c r="N59" s="1"/>
    </row>
    <row r="60" spans="1:14" ht="15" customHeight="1" x14ac:dyDescent="0.35">
      <c r="A60" s="22"/>
      <c r="B60" s="15"/>
      <c r="C60" s="21"/>
      <c r="G60" s="20"/>
      <c r="H60" s="13"/>
      <c r="M60" s="1"/>
      <c r="N60" s="1"/>
    </row>
    <row r="61" spans="1:14" ht="15" customHeight="1" x14ac:dyDescent="0.35">
      <c r="A61" s="240" t="s">
        <v>43</v>
      </c>
      <c r="B61" s="240"/>
      <c r="C61" s="21"/>
      <c r="G61" s="33"/>
      <c r="H61" s="13"/>
      <c r="M61" s="1"/>
      <c r="N61" s="1"/>
    </row>
    <row r="62" spans="1:14" x14ac:dyDescent="0.35">
      <c r="A62" s="15" t="s">
        <v>40</v>
      </c>
      <c r="B62" s="148"/>
      <c r="C62" s="21"/>
      <c r="G62" s="14"/>
      <c r="H62" s="13"/>
      <c r="I62" s="1"/>
      <c r="J62" s="1"/>
      <c r="K62" s="1"/>
      <c r="L62" s="1"/>
      <c r="M62" s="1"/>
      <c r="N62" s="1"/>
    </row>
    <row r="63" spans="1:14" ht="15" customHeight="1" x14ac:dyDescent="0.35">
      <c r="A63" s="241" t="s">
        <v>44</v>
      </c>
      <c r="B63" s="241"/>
      <c r="C63" s="21"/>
      <c r="D63" s="15"/>
      <c r="E63" s="15"/>
      <c r="F63" s="15"/>
      <c r="G63" s="14"/>
      <c r="H63" s="13"/>
      <c r="I63" s="1"/>
      <c r="J63" s="1"/>
      <c r="K63" s="1"/>
      <c r="L63" s="1"/>
      <c r="M63" s="1"/>
      <c r="N63" s="1"/>
    </row>
    <row r="64" spans="1:14" x14ac:dyDescent="0.35">
      <c r="C64" s="21"/>
      <c r="D64" s="15"/>
      <c r="E64" s="15"/>
      <c r="F64" s="15"/>
      <c r="G64" s="14"/>
      <c r="H64" s="13"/>
      <c r="I64" s="1"/>
      <c r="J64" s="1"/>
      <c r="K64" s="1"/>
      <c r="L64" s="1"/>
      <c r="M64" s="1"/>
      <c r="N64" s="1"/>
    </row>
    <row r="65" spans="1:14" x14ac:dyDescent="0.35">
      <c r="C65" s="21"/>
      <c r="D65" s="15"/>
      <c r="E65" s="15"/>
      <c r="F65" s="15"/>
      <c r="G65" s="14"/>
      <c r="H65" s="13"/>
      <c r="I65" s="1"/>
      <c r="J65" s="1"/>
      <c r="K65" s="1"/>
      <c r="L65" s="1"/>
      <c r="M65" s="1"/>
      <c r="N65" s="1"/>
    </row>
    <row r="66" spans="1:14" x14ac:dyDescent="0.35">
      <c r="A66" s="15"/>
      <c r="B66" s="33"/>
      <c r="C66" s="21"/>
      <c r="D66" s="15"/>
      <c r="E66" s="15"/>
      <c r="F66" s="15"/>
      <c r="G66" s="14"/>
      <c r="H66" s="13"/>
      <c r="I66" s="1"/>
      <c r="J66" s="1"/>
      <c r="K66" s="1"/>
      <c r="L66" s="1"/>
      <c r="M66" s="1"/>
      <c r="N66" s="1"/>
    </row>
    <row r="67" spans="1:14" x14ac:dyDescent="0.35">
      <c r="A67" s="15"/>
      <c r="B67" s="33"/>
      <c r="C67" s="21"/>
      <c r="D67" s="15"/>
      <c r="E67" s="15"/>
      <c r="F67" s="15"/>
      <c r="G67" s="14"/>
      <c r="H67" s="13"/>
      <c r="I67" s="1"/>
      <c r="J67" s="1"/>
      <c r="K67" s="1"/>
      <c r="L67" s="1"/>
      <c r="M67" s="1"/>
      <c r="N67" s="1"/>
    </row>
    <row r="68" spans="1:14" x14ac:dyDescent="0.35">
      <c r="A68" s="17"/>
      <c r="B68" s="18"/>
      <c r="C68" s="15"/>
      <c r="D68" s="17"/>
      <c r="E68" s="18"/>
      <c r="F68" s="19"/>
      <c r="G68" s="14"/>
      <c r="H68" s="13"/>
      <c r="I68" s="1"/>
      <c r="J68" s="1"/>
      <c r="K68" s="1"/>
      <c r="L68" s="1"/>
      <c r="M68" s="1"/>
      <c r="N68" s="1"/>
    </row>
    <row r="69" spans="1:14" x14ac:dyDescent="0.35">
      <c r="A69" s="240" t="s">
        <v>45</v>
      </c>
      <c r="B69" s="240"/>
      <c r="C69" s="15"/>
      <c r="D69" s="233" t="s">
        <v>46</v>
      </c>
      <c r="E69" s="233"/>
      <c r="F69" s="15"/>
      <c r="G69" s="14"/>
      <c r="H69" s="13"/>
      <c r="I69" s="1"/>
      <c r="J69" s="1"/>
      <c r="K69" s="1"/>
      <c r="L69" s="1"/>
      <c r="M69" s="1"/>
      <c r="N69" s="1"/>
    </row>
    <row r="70" spans="1:14" x14ac:dyDescent="0.35">
      <c r="A70" s="15" t="s">
        <v>40</v>
      </c>
      <c r="B70" s="33"/>
      <c r="C70" s="15"/>
      <c r="D70" s="15" t="s">
        <v>40</v>
      </c>
      <c r="E70" s="33"/>
      <c r="F70" s="15"/>
      <c r="G70" s="14"/>
      <c r="H70" s="13"/>
      <c r="I70" s="1"/>
      <c r="J70" s="1"/>
      <c r="K70" s="1"/>
      <c r="L70" s="1"/>
      <c r="M70" s="1"/>
      <c r="N70" s="1"/>
    </row>
    <row r="71" spans="1:14" x14ac:dyDescent="0.35">
      <c r="A71" s="15" t="s">
        <v>41</v>
      </c>
      <c r="B71" s="33"/>
      <c r="C71" s="15"/>
      <c r="D71" s="15" t="s">
        <v>41</v>
      </c>
      <c r="E71" s="33"/>
      <c r="F71" s="15"/>
      <c r="G71" s="14"/>
      <c r="H71" s="13"/>
      <c r="I71" s="1"/>
      <c r="J71" s="1"/>
      <c r="K71" s="1"/>
      <c r="L71" s="1"/>
      <c r="M71" s="1"/>
      <c r="N71" s="1"/>
    </row>
    <row r="72" spans="1:14" x14ac:dyDescent="0.35">
      <c r="C72" s="23"/>
      <c r="H72" s="13"/>
      <c r="I72" s="1"/>
      <c r="J72" s="1"/>
      <c r="K72" s="1"/>
      <c r="L72" s="1"/>
      <c r="M72" s="1"/>
      <c r="N72" s="1"/>
    </row>
    <row r="73" spans="1:14" x14ac:dyDescent="0.35">
      <c r="C73" s="23"/>
      <c r="H73" s="13"/>
      <c r="I73" s="1"/>
      <c r="J73" s="1"/>
      <c r="K73" s="1"/>
      <c r="L73" s="1"/>
      <c r="M73" s="1"/>
      <c r="N73" s="1"/>
    </row>
    <row r="74" spans="1:14" x14ac:dyDescent="0.35">
      <c r="C74" s="23"/>
      <c r="H74" s="24"/>
      <c r="I74" s="1"/>
      <c r="J74" s="1"/>
      <c r="K74" s="1"/>
      <c r="L74" s="1"/>
      <c r="M74" s="1"/>
      <c r="N74" s="1"/>
    </row>
    <row r="75" spans="1:14" ht="15" customHeight="1" x14ac:dyDescent="0.35">
      <c r="D75" s="148"/>
      <c r="H75" s="13"/>
      <c r="I75" s="1"/>
      <c r="J75" s="1"/>
      <c r="K75" s="1"/>
      <c r="L75" s="1"/>
      <c r="M75" s="1"/>
      <c r="N75" s="1"/>
    </row>
    <row r="76" spans="1:14" x14ac:dyDescent="0.35">
      <c r="A76" s="19"/>
      <c r="B76" s="19"/>
      <c r="C76" s="15"/>
      <c r="D76" s="19"/>
      <c r="E76" s="19"/>
      <c r="F76" s="19"/>
      <c r="G76" s="14"/>
      <c r="H76" s="13"/>
      <c r="I76" s="1"/>
      <c r="J76" s="1"/>
      <c r="K76" s="1"/>
      <c r="L76" s="1"/>
      <c r="M76" s="1"/>
      <c r="N76" s="1"/>
    </row>
    <row r="77" spans="1:14" ht="15" customHeight="1" x14ac:dyDescent="0.35">
      <c r="A77" s="233" t="s">
        <v>39</v>
      </c>
      <c r="B77" s="233"/>
      <c r="C77" s="233"/>
      <c r="D77" s="240" t="s">
        <v>39</v>
      </c>
      <c r="E77" s="240"/>
      <c r="F77" s="240"/>
      <c r="G77" s="14"/>
      <c r="H77" s="13"/>
      <c r="I77" s="1"/>
      <c r="J77" s="1"/>
      <c r="K77" s="1"/>
      <c r="L77" s="1"/>
      <c r="M77" s="1"/>
      <c r="N77" s="1"/>
    </row>
    <row r="78" spans="1:14" x14ac:dyDescent="0.35">
      <c r="A78" s="15" t="s">
        <v>40</v>
      </c>
      <c r="B78" s="33"/>
      <c r="C78" s="33"/>
      <c r="D78" s="15" t="s">
        <v>40</v>
      </c>
      <c r="E78" s="33"/>
      <c r="F78" s="33"/>
      <c r="G78" s="14"/>
      <c r="H78" s="13"/>
      <c r="I78" s="1"/>
      <c r="J78" s="1"/>
      <c r="K78" s="1"/>
      <c r="L78" s="1"/>
      <c r="M78" s="1"/>
      <c r="N78" s="1"/>
    </row>
    <row r="79" spans="1:14" x14ac:dyDescent="0.35">
      <c r="A79" s="194" t="s">
        <v>47</v>
      </c>
      <c r="B79" s="15"/>
      <c r="C79" s="15"/>
      <c r="D79" s="194" t="s">
        <v>48</v>
      </c>
      <c r="E79" s="15"/>
      <c r="F79" s="15"/>
      <c r="G79" s="14"/>
      <c r="H79" s="13"/>
      <c r="I79" s="1"/>
      <c r="J79" s="1"/>
      <c r="K79" s="1"/>
      <c r="L79" s="1"/>
      <c r="M79" s="1"/>
      <c r="N79" s="1"/>
    </row>
    <row r="80" spans="1:14" x14ac:dyDescent="0.35">
      <c r="A80" s="194"/>
      <c r="B80" s="15"/>
      <c r="C80" s="15"/>
      <c r="D80" s="194"/>
      <c r="E80" s="15"/>
      <c r="F80" s="15"/>
      <c r="G80" s="14"/>
      <c r="H80" s="13"/>
      <c r="I80" s="1"/>
      <c r="J80" s="1"/>
      <c r="K80" s="1"/>
      <c r="L80" s="1"/>
      <c r="M80" s="1"/>
      <c r="N80" s="1"/>
    </row>
    <row r="81" spans="1:14" x14ac:dyDescent="0.35">
      <c r="A81" s="194"/>
      <c r="B81" s="15"/>
      <c r="C81" s="15"/>
      <c r="D81" s="194"/>
      <c r="E81" s="15"/>
      <c r="F81" s="15"/>
      <c r="G81" s="14"/>
      <c r="H81" s="13"/>
      <c r="I81" s="1"/>
      <c r="J81" s="1"/>
      <c r="K81" s="1"/>
      <c r="L81" s="1"/>
      <c r="M81" s="1"/>
      <c r="N81" s="1"/>
    </row>
    <row r="82" spans="1:14" x14ac:dyDescent="0.35">
      <c r="A82" s="194"/>
      <c r="B82" s="15"/>
      <c r="C82" s="15"/>
      <c r="D82" s="194"/>
      <c r="E82" s="15"/>
      <c r="F82" s="15"/>
      <c r="G82" s="14"/>
      <c r="H82" s="13"/>
      <c r="I82" s="1"/>
      <c r="J82" s="1"/>
      <c r="K82" s="1"/>
      <c r="L82" s="1"/>
      <c r="M82" s="1"/>
      <c r="N82" s="1"/>
    </row>
    <row r="83" spans="1:14" x14ac:dyDescent="0.35">
      <c r="A83" s="194"/>
      <c r="B83" s="15"/>
      <c r="C83" s="15"/>
      <c r="D83" s="194"/>
      <c r="E83" s="15"/>
      <c r="F83" s="15"/>
      <c r="G83" s="14"/>
      <c r="H83" s="13"/>
      <c r="I83" s="1"/>
      <c r="J83" s="1"/>
      <c r="K83" s="1"/>
      <c r="L83" s="1"/>
      <c r="M83" s="1"/>
      <c r="N83" s="1"/>
    </row>
    <row r="84" spans="1:14" x14ac:dyDescent="0.35">
      <c r="A84" s="17"/>
      <c r="B84" s="18"/>
      <c r="C84" s="24"/>
      <c r="H84" s="13"/>
      <c r="I84" s="1"/>
      <c r="J84" s="1"/>
      <c r="K84" s="1"/>
      <c r="L84" s="1"/>
      <c r="M84" s="1"/>
      <c r="N84" s="1"/>
    </row>
    <row r="85" spans="1:14" ht="15" customHeight="1" x14ac:dyDescent="0.35">
      <c r="A85" s="233" t="s">
        <v>43</v>
      </c>
      <c r="B85" s="233"/>
      <c r="C85" s="233"/>
      <c r="D85" s="245" t="s">
        <v>43</v>
      </c>
      <c r="E85" s="245"/>
      <c r="F85" s="246"/>
      <c r="H85" s="13"/>
      <c r="I85" s="1"/>
      <c r="J85" s="1"/>
      <c r="K85" s="1"/>
      <c r="L85" s="1"/>
      <c r="M85" s="1"/>
      <c r="N85" s="1"/>
    </row>
    <row r="86" spans="1:14" x14ac:dyDescent="0.35">
      <c r="A86" s="15" t="s">
        <v>40</v>
      </c>
      <c r="B86" s="33"/>
      <c r="C86" s="33"/>
      <c r="D86" s="15" t="s">
        <v>40</v>
      </c>
      <c r="E86" s="20"/>
      <c r="F86" s="20"/>
      <c r="H86" s="13"/>
      <c r="I86" s="1"/>
      <c r="J86" s="1"/>
      <c r="K86" s="1"/>
      <c r="L86" s="1"/>
      <c r="M86" s="1"/>
      <c r="N86" s="1"/>
    </row>
    <row r="87" spans="1:14" x14ac:dyDescent="0.35">
      <c r="A87" s="194" t="s">
        <v>49</v>
      </c>
      <c r="B87" s="33"/>
      <c r="C87" s="33"/>
      <c r="D87" s="194" t="s">
        <v>50</v>
      </c>
      <c r="E87" s="33"/>
      <c r="F87" s="33"/>
      <c r="H87" s="33"/>
      <c r="I87" s="1"/>
      <c r="J87" s="1"/>
      <c r="K87" s="1"/>
      <c r="L87" s="1"/>
      <c r="M87" s="1"/>
      <c r="N87" s="1"/>
    </row>
    <row r="88" spans="1:14" x14ac:dyDescent="0.35">
      <c r="A88" s="25"/>
      <c r="B88" s="26"/>
      <c r="C88" s="23"/>
      <c r="D88" s="1"/>
      <c r="E88" s="23"/>
      <c r="F88" s="23"/>
      <c r="G88" s="27"/>
      <c r="H88" s="1"/>
      <c r="I88" s="1"/>
      <c r="J88" s="1"/>
      <c r="K88" s="1"/>
      <c r="L88" s="1"/>
      <c r="M88" s="1"/>
      <c r="N88" s="1"/>
    </row>
    <row r="89" spans="1:14" x14ac:dyDescent="0.35">
      <c r="A89" s="25"/>
      <c r="B89" s="26"/>
      <c r="C89" s="23"/>
      <c r="D89" s="23"/>
      <c r="E89" s="23"/>
      <c r="F89" s="23"/>
      <c r="G89" s="27"/>
      <c r="H89" s="1"/>
      <c r="I89" s="1"/>
      <c r="J89" s="1"/>
      <c r="K89" s="1"/>
      <c r="L89" s="1"/>
      <c r="M89" s="1"/>
      <c r="N89" s="1"/>
    </row>
    <row r="90" spans="1:14" x14ac:dyDescent="0.35">
      <c r="A90" s="25"/>
      <c r="B90" s="26"/>
      <c r="C90" s="23"/>
      <c r="D90" s="23"/>
      <c r="E90" s="23"/>
      <c r="F90" s="23"/>
      <c r="G90" s="27"/>
      <c r="H90" s="1"/>
      <c r="I90" s="1"/>
      <c r="J90" s="1"/>
      <c r="K90" s="1"/>
      <c r="L90" s="1"/>
      <c r="M90" s="1"/>
      <c r="N90" s="1"/>
    </row>
    <row r="91" spans="1:14" x14ac:dyDescent="0.35">
      <c r="A91" s="25"/>
      <c r="B91" s="15"/>
      <c r="C91" s="15"/>
      <c r="D91" s="15"/>
      <c r="E91" s="14"/>
      <c r="F91" s="23"/>
      <c r="G91" s="27"/>
      <c r="H91" s="23"/>
      <c r="I91" s="23"/>
      <c r="J91" s="23"/>
      <c r="K91" s="23"/>
      <c r="L91" s="23"/>
      <c r="M91" s="23"/>
      <c r="N91" s="23"/>
    </row>
    <row r="92" spans="1:14" x14ac:dyDescent="0.35">
      <c r="A92" s="25"/>
      <c r="B92" s="26"/>
      <c r="C92" s="23"/>
      <c r="D92" s="23"/>
      <c r="E92" s="23"/>
      <c r="F92" s="23"/>
      <c r="G92" s="27"/>
      <c r="H92" s="1"/>
      <c r="I92" s="1"/>
      <c r="J92" s="1"/>
      <c r="K92" s="1"/>
      <c r="L92" s="1"/>
      <c r="M92" s="1"/>
      <c r="N92" s="1"/>
    </row>
    <row r="93" spans="1:14" x14ac:dyDescent="0.35">
      <c r="A93" s="25"/>
      <c r="B93" s="26"/>
      <c r="C93" s="23"/>
      <c r="D93" s="23"/>
      <c r="E93" s="23"/>
      <c r="F93" s="23"/>
      <c r="G93" s="27"/>
      <c r="H93" s="1"/>
      <c r="I93" s="1"/>
      <c r="J93" s="1"/>
      <c r="K93" s="1"/>
      <c r="L93" s="1"/>
      <c r="M93" s="1"/>
      <c r="N93" s="1"/>
    </row>
    <row r="94" spans="1:14" x14ac:dyDescent="0.35">
      <c r="A94" s="25"/>
      <c r="B94" s="26"/>
      <c r="C94" s="23"/>
      <c r="D94" s="23"/>
      <c r="E94" s="23"/>
      <c r="F94" s="23"/>
      <c r="G94" s="27"/>
      <c r="H94" s="1"/>
      <c r="I94" s="1"/>
      <c r="J94" s="1"/>
      <c r="K94" s="1"/>
      <c r="L94" s="1"/>
      <c r="M94" s="1"/>
      <c r="N94" s="1"/>
    </row>
    <row r="95" spans="1:14" x14ac:dyDescent="0.35">
      <c r="A95" s="25"/>
      <c r="B95" s="26"/>
      <c r="C95" s="23"/>
      <c r="D95" s="23"/>
      <c r="E95" s="23"/>
      <c r="F95" s="23"/>
      <c r="G95" s="27"/>
      <c r="H95" s="1"/>
      <c r="I95" s="1"/>
      <c r="J95" s="1"/>
      <c r="K95" s="1"/>
      <c r="L95" s="1"/>
      <c r="M95" s="1"/>
      <c r="N95" s="1"/>
    </row>
    <row r="96" spans="1:14" x14ac:dyDescent="0.35">
      <c r="A96" s="25"/>
      <c r="B96" s="26"/>
      <c r="C96" s="23"/>
      <c r="D96" s="23"/>
      <c r="E96" s="23"/>
      <c r="F96" s="23"/>
      <c r="G96" s="27"/>
      <c r="H96" s="1"/>
      <c r="I96" s="1"/>
      <c r="J96" s="1"/>
      <c r="K96" s="1"/>
      <c r="L96" s="1"/>
      <c r="M96" s="1"/>
      <c r="N96" s="1"/>
    </row>
    <row r="97" spans="1:14" x14ac:dyDescent="0.35">
      <c r="A97" s="25"/>
      <c r="B97" s="26"/>
      <c r="C97" s="23"/>
      <c r="D97" s="23"/>
      <c r="E97" s="23"/>
      <c r="F97" s="23"/>
      <c r="G97" s="27"/>
      <c r="H97" s="1"/>
      <c r="I97" s="1"/>
      <c r="J97" s="1"/>
      <c r="K97" s="1"/>
      <c r="L97" s="1"/>
      <c r="M97" s="1"/>
      <c r="N97" s="1"/>
    </row>
    <row r="98" spans="1:14" x14ac:dyDescent="0.35">
      <c r="A98" s="25"/>
      <c r="B98" s="26"/>
      <c r="C98" s="23"/>
      <c r="D98" s="23"/>
      <c r="E98" s="23"/>
      <c r="F98" s="23"/>
      <c r="G98" s="27"/>
      <c r="H98" s="1"/>
      <c r="I98" s="1"/>
      <c r="J98" s="1"/>
      <c r="K98" s="1"/>
      <c r="L98" s="1"/>
      <c r="M98" s="1"/>
      <c r="N98" s="1"/>
    </row>
    <row r="99" spans="1:14" x14ac:dyDescent="0.35">
      <c r="A99" s="25"/>
      <c r="B99" s="26"/>
      <c r="C99" s="23"/>
      <c r="D99" s="23"/>
      <c r="E99" s="23"/>
      <c r="F99" s="23"/>
      <c r="G99" s="27"/>
      <c r="H99" s="1"/>
      <c r="I99" s="1"/>
      <c r="J99" s="1"/>
      <c r="K99" s="1"/>
      <c r="L99" s="1"/>
      <c r="M99" s="1"/>
      <c r="N99" s="1"/>
    </row>
    <row r="100" spans="1:14" x14ac:dyDescent="0.35">
      <c r="A100" s="25"/>
      <c r="B100" s="26"/>
      <c r="C100" s="23"/>
      <c r="D100" s="23"/>
      <c r="E100" s="23"/>
      <c r="F100" s="23"/>
      <c r="G100" s="27"/>
      <c r="H100" s="1"/>
      <c r="I100" s="1"/>
      <c r="J100" s="1"/>
      <c r="K100" s="1"/>
      <c r="L100" s="1"/>
      <c r="M100" s="1"/>
      <c r="N100" s="1"/>
    </row>
    <row r="101" spans="1:14" x14ac:dyDescent="0.35">
      <c r="A101" s="25"/>
      <c r="B101" s="26"/>
      <c r="C101" s="23"/>
      <c r="D101" s="23"/>
      <c r="E101" s="23"/>
      <c r="F101" s="23"/>
      <c r="G101" s="27"/>
      <c r="H101" s="1"/>
      <c r="I101" s="1"/>
      <c r="J101" s="1"/>
      <c r="K101" s="1"/>
      <c r="L101" s="1"/>
      <c r="M101" s="1"/>
      <c r="N101" s="1"/>
    </row>
  </sheetData>
  <dataConsolidate/>
  <mergeCells count="95">
    <mergeCell ref="B11:C11"/>
    <mergeCell ref="B12:C12"/>
    <mergeCell ref="B13:C13"/>
    <mergeCell ref="D11:H11"/>
    <mergeCell ref="D12:H12"/>
    <mergeCell ref="D13:H13"/>
    <mergeCell ref="B9:C9"/>
    <mergeCell ref="D19:E19"/>
    <mergeCell ref="D31:H31"/>
    <mergeCell ref="D32:H32"/>
    <mergeCell ref="B31:C32"/>
    <mergeCell ref="B25:C25"/>
    <mergeCell ref="B20:C24"/>
    <mergeCell ref="D20:E20"/>
    <mergeCell ref="F20:H20"/>
    <mergeCell ref="D21:E21"/>
    <mergeCell ref="F21:H21"/>
    <mergeCell ref="D22:E22"/>
    <mergeCell ref="F22:H22"/>
    <mergeCell ref="D25:H25"/>
    <mergeCell ref="G19:H19"/>
    <mergeCell ref="B26:C26"/>
    <mergeCell ref="B15:C15"/>
    <mergeCell ref="D15:H15"/>
    <mergeCell ref="B16:C16"/>
    <mergeCell ref="D16:F16"/>
    <mergeCell ref="G16:H16"/>
    <mergeCell ref="I25:O25"/>
    <mergeCell ref="D26:H26"/>
    <mergeCell ref="A1:A2"/>
    <mergeCell ref="B1:F1"/>
    <mergeCell ref="G1:H1"/>
    <mergeCell ref="B2:F2"/>
    <mergeCell ref="G2:H2"/>
    <mergeCell ref="A3:H3"/>
    <mergeCell ref="A4:H4"/>
    <mergeCell ref="B6:H6"/>
    <mergeCell ref="B7:C7"/>
    <mergeCell ref="D7:H7"/>
    <mergeCell ref="B8:C8"/>
    <mergeCell ref="D8:H8"/>
    <mergeCell ref="B14:C14"/>
    <mergeCell ref="D14:H14"/>
    <mergeCell ref="D28:H28"/>
    <mergeCell ref="B28:C30"/>
    <mergeCell ref="D30:H30"/>
    <mergeCell ref="I28:M28"/>
    <mergeCell ref="D29:H29"/>
    <mergeCell ref="D17:H17"/>
    <mergeCell ref="B18:C18"/>
    <mergeCell ref="D18:H18"/>
    <mergeCell ref="B19:C19"/>
    <mergeCell ref="B27:C27"/>
    <mergeCell ref="D27:H27"/>
    <mergeCell ref="D23:E23"/>
    <mergeCell ref="F23:H23"/>
    <mergeCell ref="D24:E24"/>
    <mergeCell ref="F24:H24"/>
    <mergeCell ref="I37:I38"/>
    <mergeCell ref="B38:C38"/>
    <mergeCell ref="D38:H38"/>
    <mergeCell ref="B39:C39"/>
    <mergeCell ref="D39:H39"/>
    <mergeCell ref="B37:C37"/>
    <mergeCell ref="D37:H37"/>
    <mergeCell ref="B5:H5"/>
    <mergeCell ref="B10:C10"/>
    <mergeCell ref="D10:H10"/>
    <mergeCell ref="A7:A16"/>
    <mergeCell ref="A45:H45"/>
    <mergeCell ref="D9:H9"/>
    <mergeCell ref="B33:C34"/>
    <mergeCell ref="D33:H33"/>
    <mergeCell ref="D34:H34"/>
    <mergeCell ref="A35:A39"/>
    <mergeCell ref="B35:C35"/>
    <mergeCell ref="D35:H35"/>
    <mergeCell ref="B36:C36"/>
    <mergeCell ref="D36:H36"/>
    <mergeCell ref="A17:A34"/>
    <mergeCell ref="B17:C17"/>
    <mergeCell ref="A77:C77"/>
    <mergeCell ref="A85:C85"/>
    <mergeCell ref="A41:H41"/>
    <mergeCell ref="A47:G47"/>
    <mergeCell ref="A53:B53"/>
    <mergeCell ref="A61:B61"/>
    <mergeCell ref="A63:B63"/>
    <mergeCell ref="A69:B69"/>
    <mergeCell ref="A46:G46"/>
    <mergeCell ref="D69:E69"/>
    <mergeCell ref="D53:F53"/>
    <mergeCell ref="D77:F77"/>
    <mergeCell ref="D85:F85"/>
    <mergeCell ref="A42:H43"/>
  </mergeCells>
  <conditionalFormatting sqref="D25">
    <cfRule type="containsText" dxfId="15" priority="7" stopIfTrue="1" operator="containsText" text="No cumple">
      <formula>NOT(ISERROR(SEARCH("No cumple",D25)))</formula>
    </cfRule>
  </conditionalFormatting>
  <conditionalFormatting sqref="I15:I16">
    <cfRule type="containsText" dxfId="14" priority="3" stopIfTrue="1" operator="containsText" text="Duración">
      <formula>NOT(ISERROR(SEARCH("Duración",I15)))</formula>
    </cfRule>
  </conditionalFormatting>
  <conditionalFormatting sqref="I35">
    <cfRule type="containsText" dxfId="13" priority="4" stopIfTrue="1" operator="containsText" text="no">
      <formula>NOT(ISERROR(SEARCH("no",I35)))</formula>
    </cfRule>
    <cfRule type="containsText" dxfId="12" priority="5" stopIfTrue="1" operator="containsText" text="Excede">
      <formula>NOT(ISERROR(SEARCH("Excede",I35)))</formula>
    </cfRule>
  </conditionalFormatting>
  <conditionalFormatting sqref="I37">
    <cfRule type="containsText" dxfId="11" priority="1" stopIfTrue="1" operator="containsText" text="no">
      <formula>NOT(ISERROR(SEARCH("no",I37)))</formula>
    </cfRule>
    <cfRule type="containsText" dxfId="10" priority="2" stopIfTrue="1" operator="containsText" text="Excede">
      <formula>NOT(ISERROR(SEARCH("Excede",I37)))</formula>
    </cfRule>
  </conditionalFormatting>
  <dataValidations xWindow="641" yWindow="461" count="2">
    <dataValidation allowBlank="1" showErrorMessage="1" promptTitle="GRUPO EXTERNO 2" prompt="DIGITE UN GRUPO DE INVESTIGACIÓN EXTERNO A LA UIS" sqref="D34:H34" xr:uid="{00000000-0002-0000-0000-000000000000}"/>
    <dataValidation allowBlank="1" showErrorMessage="1" promptTitle="GRUPO EXTERNO 1" prompt="DIGITE UN GRUPO DE INVESTIGACIÓN EXTERNO A LA UIS" sqref="D33:H33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Footer>&amp;RPágina &amp;P</oddFooter>
  </headerFooter>
  <rowBreaks count="1" manualBreakCount="1">
    <brk id="40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41" yWindow="461" count="7">
        <x14:dataValidation type="list" allowBlank="1" showInputMessage="1" showErrorMessage="1" prompt="PARA CONVOCATORIAS: ODS Y &quot;GENERANDO ESPÍRITU CIENTÍFICO&quot;._x000a_En el caso de propuestas que apliquen a la modalidad de “investigación básica” podrá aplicar a la opción “Otros problemas del conocimiento científico”." xr:uid="{00000000-0002-0000-0000-000002000000}">
          <x14:formula1>
            <xm:f>Listas!$A$107:$A$125</xm:f>
          </x14:formula1>
          <xm:sqref>D9:H9</xm:sqref>
        </x14:dataValidation>
        <x14:dataValidation type="list" allowBlank="1" showInputMessage="1" showErrorMessage="1" prompt="Seleccionar en la lista desplegable" xr:uid="{00000000-0002-0000-0000-000003000000}">
          <x14:formula1>
            <xm:f>Listas!$A$2:$A$6</xm:f>
          </x14:formula1>
          <xm:sqref>B5:H5</xm:sqref>
        </x14:dataValidation>
        <x14:dataValidation type="list" allowBlank="1" showInputMessage="1" showErrorMessage="1" prompt="Seleccionar en la lista desplegable" xr:uid="{00000000-0002-0000-0000-000004000000}">
          <x14:formula1>
            <xm:f>Listas!$A$8:$A$13</xm:f>
          </x14:formula1>
          <xm:sqref>B6:H6</xm:sqref>
        </x14:dataValidation>
        <x14:dataValidation type="list" allowBlank="1" showInputMessage="1" showErrorMessage="1" prompt="PARA CONVOCATORIAS: ODS Y &quot;GENERANDO ESPÍRITU CIENTÍFICO&quot;._x000a_En el caso de propuestas que apliquen a la modalidad de “investigación básica” podrá aplicar a la opción “Otros problemas del conocimiento científico”." xr:uid="{00000000-0002-0000-0000-000005000000}">
          <x14:formula1>
            <xm:f>Listas!$A$128:$A$137</xm:f>
          </x14:formula1>
          <xm:sqref>D10:H10</xm:sqref>
        </x14:dataValidation>
        <x14:dataValidation type="list" allowBlank="1" showInputMessage="1" showErrorMessage="1" prompt="PARA CONVOCATORIAS: ODS Y &quot;GENERANDO ESPÍRITU CIENTÍFICO&quot;._x000a_En el caso de propuestas que apliquen a la modalidad de “investigación básica” podrá aplicar a la opción “Otros problemas del conocimiento científico”." xr:uid="{00000000-0002-0000-0000-000006000000}">
          <x14:formula1>
            <xm:f>Listas!$A$140:$A$189</xm:f>
          </x14:formula1>
          <xm:sqref>D11:H11</xm:sqref>
        </x14:dataValidation>
        <x14:dataValidation type="list" allowBlank="1" showInputMessage="1" showErrorMessage="1" prompt="PARA CONVOCATORIAS: ODS Y &quot;GENERANDO ESPÍRITU CIENTÍFICO&quot;._x000a_En el caso de propuestas que apliquen a la modalidad de “investigación básica” podrá aplicar a la opción “Otros problemas del conocimiento científico”." xr:uid="{00000000-0002-0000-0000-000007000000}">
          <x14:formula1>
            <xm:f>Listas!$A$192:$A$198</xm:f>
          </x14:formula1>
          <xm:sqref>D12:H12</xm:sqref>
        </x14:dataValidation>
        <x14:dataValidation type="list" allowBlank="1" showInputMessage="1" showErrorMessage="1" prompt="PARA CONVOCATORIAS: ODS Y &quot;GENERANDO ESPÍRITU CIENTÍFICO&quot;._x000a_En el caso de propuestas que apliquen a la modalidad de “investigación básica” podrá aplicar a la opción “Otros problemas del conocimiento científico”." xr:uid="{00000000-0002-0000-0000-000008000000}">
          <x14:formula1>
            <xm:f>Listas!$A$201:$A$205</xm:f>
          </x14:formula1>
          <xm:sqref>D13:H13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zoomScale="93" zoomScaleNormal="93" workbookViewId="0">
      <selection activeCell="B7" sqref="B7"/>
    </sheetView>
  </sheetViews>
  <sheetFormatPr baseColWidth="10" defaultColWidth="15.453125" defaultRowHeight="14" x14ac:dyDescent="0.3"/>
  <cols>
    <col min="1" max="1" width="4.453125" style="29" bestFit="1" customWidth="1"/>
    <col min="2" max="2" width="31.26953125" style="29" customWidth="1"/>
    <col min="3" max="4" width="30.453125" style="29" customWidth="1"/>
    <col min="5" max="5" width="13.81640625" style="29" bestFit="1" customWidth="1"/>
    <col min="6" max="6" width="24.7265625" style="29" customWidth="1"/>
    <col min="7" max="7" width="33.26953125" style="29" customWidth="1"/>
    <col min="8" max="8" width="21.1796875" style="29" customWidth="1"/>
    <col min="9" max="9" width="18.26953125" style="29" customWidth="1"/>
    <col min="10" max="10" width="17" style="29" customWidth="1"/>
    <col min="11" max="11" width="15.453125" style="29" customWidth="1"/>
    <col min="12" max="12" width="17" style="29" customWidth="1"/>
    <col min="13" max="13" width="18.7265625" style="29" customWidth="1"/>
    <col min="14" max="14" width="17.26953125" style="29" customWidth="1"/>
    <col min="15" max="15" width="17.453125" style="29" customWidth="1"/>
    <col min="16" max="17" width="17.26953125" style="29" customWidth="1"/>
    <col min="18" max="19" width="15.453125" style="29" customWidth="1"/>
    <col min="20" max="23" width="17.81640625" style="29" customWidth="1"/>
    <col min="24" max="24" width="24.26953125" style="29" customWidth="1"/>
    <col min="25" max="16384" width="15.453125" style="29"/>
  </cols>
  <sheetData>
    <row r="1" spans="1:27" x14ac:dyDescent="0.3">
      <c r="A1" s="371" t="s">
        <v>51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</row>
    <row r="2" spans="1:27" x14ac:dyDescent="0.3">
      <c r="A2" s="388" t="s">
        <v>52</v>
      </c>
      <c r="B2" s="389"/>
      <c r="C2" s="385">
        <f>Formulario!$D$7</f>
        <v>0</v>
      </c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</row>
    <row r="3" spans="1:27" ht="14.5" thickBot="1" x14ac:dyDescent="0.35">
      <c r="A3" s="390" t="s">
        <v>53</v>
      </c>
      <c r="B3" s="391"/>
      <c r="C3" s="384" t="str">
        <f>Formulario!$B$6</f>
        <v>NO APLICA</v>
      </c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</row>
    <row r="4" spans="1:27" ht="15.75" customHeight="1" thickBot="1" x14ac:dyDescent="0.35">
      <c r="A4" s="374" t="s">
        <v>54</v>
      </c>
      <c r="B4" s="360" t="s">
        <v>55</v>
      </c>
      <c r="C4" s="361"/>
      <c r="D4" s="361"/>
      <c r="E4" s="361"/>
      <c r="F4" s="361"/>
      <c r="G4" s="361"/>
      <c r="H4" s="361"/>
      <c r="I4" s="362"/>
      <c r="J4" s="360" t="s">
        <v>56</v>
      </c>
      <c r="K4" s="361"/>
      <c r="L4" s="361"/>
      <c r="M4" s="361"/>
      <c r="N4" s="361"/>
      <c r="O4" s="361"/>
      <c r="P4" s="361"/>
      <c r="Q4" s="361"/>
      <c r="R4" s="361"/>
      <c r="S4" s="362"/>
      <c r="T4" s="377" t="s">
        <v>27</v>
      </c>
      <c r="U4" s="378"/>
      <c r="V4" s="378"/>
      <c r="W4" s="379"/>
      <c r="X4" s="27"/>
      <c r="Y4" s="27"/>
      <c r="Z4" s="23"/>
      <c r="AA4" s="27"/>
    </row>
    <row r="5" spans="1:27" ht="14.5" thickBot="1" x14ac:dyDescent="0.35">
      <c r="A5" s="375"/>
      <c r="B5" s="380" t="s">
        <v>57</v>
      </c>
      <c r="C5" s="380" t="s">
        <v>58</v>
      </c>
      <c r="D5" s="358" t="s">
        <v>59</v>
      </c>
      <c r="E5" s="358" t="s">
        <v>60</v>
      </c>
      <c r="F5" s="358" t="s">
        <v>61</v>
      </c>
      <c r="G5" s="380" t="s">
        <v>62</v>
      </c>
      <c r="H5" s="350" t="s">
        <v>63</v>
      </c>
      <c r="I5" s="352" t="s">
        <v>64</v>
      </c>
      <c r="J5" s="354" t="s">
        <v>65</v>
      </c>
      <c r="K5" s="365" t="s">
        <v>66</v>
      </c>
      <c r="L5" s="365" t="s">
        <v>67</v>
      </c>
      <c r="M5" s="365" t="s">
        <v>68</v>
      </c>
      <c r="N5" s="365" t="s">
        <v>69</v>
      </c>
      <c r="O5" s="356" t="s">
        <v>70</v>
      </c>
      <c r="P5" s="367" t="s">
        <v>71</v>
      </c>
      <c r="Q5" s="369" t="s">
        <v>72</v>
      </c>
      <c r="R5" s="356" t="s">
        <v>73</v>
      </c>
      <c r="S5" s="356" t="s">
        <v>74</v>
      </c>
      <c r="T5" s="363" t="s">
        <v>75</v>
      </c>
      <c r="U5" s="364"/>
      <c r="V5" s="382" t="s">
        <v>76</v>
      </c>
      <c r="W5" s="383"/>
      <c r="X5" s="40"/>
    </row>
    <row r="6" spans="1:27" ht="31.5" customHeight="1" thickBot="1" x14ac:dyDescent="0.35">
      <c r="A6" s="376"/>
      <c r="B6" s="381"/>
      <c r="C6" s="381"/>
      <c r="D6" s="359"/>
      <c r="E6" s="359"/>
      <c r="F6" s="359"/>
      <c r="G6" s="381"/>
      <c r="H6" s="351"/>
      <c r="I6" s="353"/>
      <c r="J6" s="355"/>
      <c r="K6" s="366"/>
      <c r="L6" s="366"/>
      <c r="M6" s="366"/>
      <c r="N6" s="366"/>
      <c r="O6" s="357"/>
      <c r="P6" s="368"/>
      <c r="Q6" s="370"/>
      <c r="R6" s="357"/>
      <c r="S6" s="357"/>
      <c r="T6" s="41" t="s">
        <v>77</v>
      </c>
      <c r="U6" s="42" t="s">
        <v>78</v>
      </c>
      <c r="V6" s="42" t="s">
        <v>78</v>
      </c>
      <c r="W6" s="43" t="s">
        <v>77</v>
      </c>
      <c r="X6" s="40"/>
    </row>
    <row r="7" spans="1:27" ht="27.75" customHeight="1" x14ac:dyDescent="0.3">
      <c r="A7" s="44">
        <v>1</v>
      </c>
      <c r="B7" s="45"/>
      <c r="C7" s="124"/>
      <c r="D7" s="45"/>
      <c r="E7" s="45"/>
      <c r="F7" s="45"/>
      <c r="G7" s="46"/>
      <c r="H7" s="206"/>
      <c r="I7" s="47"/>
      <c r="J7" s="125"/>
      <c r="K7" s="126"/>
      <c r="L7" s="48"/>
      <c r="M7" s="127"/>
      <c r="N7" s="48"/>
      <c r="O7" s="149"/>
      <c r="P7" s="147"/>
      <c r="Q7" s="157">
        <f>L7*P7*4</f>
        <v>0</v>
      </c>
      <c r="R7" s="181"/>
      <c r="S7" s="156">
        <f t="shared" ref="S7:S29" si="0">IF(AND(R7=TipoR1,M7=2023),N7*Tarifa1*año_actual,IF(AND(R7=TipoR2,M7=2023),N7*Tarifa2*año_actual,IF(AND(R7=TipoR3,M7=2023),N7*Tarifa3*año_actual,IF(AND(R7=TipoR4,M7=2023),N7*Tarifa4*año_actual,IF(AND(R7=TipoR5,M7=2023),N7*Tarifa5*año_actual,IF(AND(R7=TipoR1,M7=2024),N7*Tarifa1*año_siguiente,IF(AND(R7=TipoR2,M7=2024),N7*Tarifa2*año_siguiente,IF(AND(R7=TipoR3,M7=2024),N7*Tarifa3*año_siguiente,IF(AND(R7=TipoR4,M7=2024),N7*Tarifa4*año_siguiente,IF(AND(R7=TipoR5,M7=2024),N7*Tarifa5*año_siguiente,IF(AND(R7=TipoR1,M7=2025),N7*Tarifa1*año_subsiguiente,IF(AND(R7=TipoR2,M7=2025),N7*Tarifa2*año_subsiguiente,IF(AND(R7=TipoR3,M7=2025),N7*Tarifa3*año_subsiguiente,IF(AND(R7=TipoR4,M7=2025),N7*Tarifa4*año_subsiguiente,IF(AND(R7=TipoR5,M7=2025),N7*Tarifa5*año_subsiguiente,0)))))))))))))))</f>
        <v>0</v>
      </c>
      <c r="T7" s="182">
        <f>(IF(AND(J7="UIS",K7="Efectivo"),(N7*Q7)+S7,0))+IF(AND(J7="UIS",K7="Ad-Honorem"),S7,0)</f>
        <v>0</v>
      </c>
      <c r="U7" s="183">
        <f t="shared" ref="U7:U29" si="1">IF(AND(J7="UIS",K7="Especie"),N7*Q7,0)</f>
        <v>0</v>
      </c>
      <c r="V7" s="184">
        <f>IF(AND(J7="Otra(s) Institución(es)",K7="Especie"),(N7*Q7)+S7,0)</f>
        <v>0</v>
      </c>
      <c r="W7" s="185">
        <f>IF(AND(J7="Otra(s) Institución(es)",K7="Efectivo"),(N7*Q7)+S7,0)+IF(AND(J7="Otra(s) Institución(es)",K7="Ad-Honorem"),S7,0)</f>
        <v>0</v>
      </c>
      <c r="X7" s="155"/>
    </row>
    <row r="8" spans="1:27" ht="27.75" customHeight="1" x14ac:dyDescent="0.3">
      <c r="A8" s="49">
        <f>+A7+1</f>
        <v>2</v>
      </c>
      <c r="B8" s="50"/>
      <c r="C8" s="124"/>
      <c r="D8" s="45"/>
      <c r="E8" s="45"/>
      <c r="F8" s="45"/>
      <c r="G8" s="51"/>
      <c r="H8" s="207"/>
      <c r="I8" s="52"/>
      <c r="J8" s="125"/>
      <c r="K8" s="126"/>
      <c r="L8" s="53"/>
      <c r="M8" s="128"/>
      <c r="N8" s="53"/>
      <c r="O8" s="149"/>
      <c r="P8" s="147"/>
      <c r="Q8" s="157">
        <f>L8*P8*4</f>
        <v>0</v>
      </c>
      <c r="R8" s="181"/>
      <c r="S8" s="156">
        <f t="shared" si="0"/>
        <v>0</v>
      </c>
      <c r="T8" s="182">
        <f>(IF(AND(J8="UIS",K8="Efectivo"),(N8*Q8)+S8,0))+IF(AND(J8="UIS",K8="Ad-Honorem"),S8,0)</f>
        <v>0</v>
      </c>
      <c r="U8" s="186">
        <f t="shared" si="1"/>
        <v>0</v>
      </c>
      <c r="V8" s="184">
        <f t="shared" ref="V8:V28" si="2">IF(AND(J8="Otra(s) Institución(es)",K8="Especie"),(N8*Q8)+S8,0)</f>
        <v>0</v>
      </c>
      <c r="W8" s="185">
        <f t="shared" ref="W8:W29" si="3">IF(AND(J8="Otra(s) Institución(es)",K8="Efectivo"),(N8*Q8)+S8,0)+IF(AND(J8="Otra(s) Institución(es)",K8="Ad-Honorem"),S8,0)</f>
        <v>0</v>
      </c>
      <c r="X8" s="154"/>
    </row>
    <row r="9" spans="1:27" ht="27.75" customHeight="1" x14ac:dyDescent="0.3">
      <c r="A9" s="49">
        <f t="shared" ref="A9:A29" si="4">+A8+1</f>
        <v>3</v>
      </c>
      <c r="B9" s="50"/>
      <c r="C9" s="124"/>
      <c r="D9" s="45"/>
      <c r="E9" s="45"/>
      <c r="F9" s="45"/>
      <c r="G9" s="51"/>
      <c r="H9" s="207"/>
      <c r="I9" s="52"/>
      <c r="J9" s="125"/>
      <c r="K9" s="126"/>
      <c r="L9" s="53"/>
      <c r="M9" s="128"/>
      <c r="N9" s="53"/>
      <c r="O9" s="149"/>
      <c r="P9" s="147"/>
      <c r="Q9" s="157">
        <f t="shared" ref="Q9:Q29" si="5">L9*P9*4</f>
        <v>0</v>
      </c>
      <c r="R9" s="181"/>
      <c r="S9" s="156">
        <f t="shared" si="0"/>
        <v>0</v>
      </c>
      <c r="T9" s="182">
        <f>(IF(AND(J9="UIS",K9="Efectivo"),(N9*Q9)+S9,0))+IF(AND(J9="UIS",K9="Ad-Honorem"),S9,0)</f>
        <v>0</v>
      </c>
      <c r="U9" s="186">
        <f t="shared" si="1"/>
        <v>0</v>
      </c>
      <c r="V9" s="184">
        <f t="shared" si="2"/>
        <v>0</v>
      </c>
      <c r="W9" s="185">
        <f t="shared" si="3"/>
        <v>0</v>
      </c>
      <c r="X9" s="23"/>
    </row>
    <row r="10" spans="1:27" ht="27.75" customHeight="1" x14ac:dyDescent="0.3">
      <c r="A10" s="49">
        <f t="shared" si="4"/>
        <v>4</v>
      </c>
      <c r="B10" s="50"/>
      <c r="C10" s="124"/>
      <c r="D10" s="45"/>
      <c r="E10" s="45"/>
      <c r="F10" s="45"/>
      <c r="G10" s="51"/>
      <c r="H10" s="207"/>
      <c r="I10" s="52"/>
      <c r="J10" s="125"/>
      <c r="K10" s="126"/>
      <c r="L10" s="53"/>
      <c r="M10" s="128"/>
      <c r="N10" s="53"/>
      <c r="O10" s="149"/>
      <c r="P10" s="147"/>
      <c r="Q10" s="157">
        <f t="shared" si="5"/>
        <v>0</v>
      </c>
      <c r="R10" s="181"/>
      <c r="S10" s="156">
        <f t="shared" si="0"/>
        <v>0</v>
      </c>
      <c r="T10" s="182">
        <f t="shared" ref="T10:T29" si="6">(IF(AND(J10="UIS",K10="Efectivo"),(N10*Q10)+S10,0))+IF(AND(J10="UIS",K10="Ad-Honorem"),S10,0)</f>
        <v>0</v>
      </c>
      <c r="U10" s="186">
        <f t="shared" si="1"/>
        <v>0</v>
      </c>
      <c r="V10" s="184">
        <f t="shared" si="2"/>
        <v>0</v>
      </c>
      <c r="W10" s="185">
        <f t="shared" si="3"/>
        <v>0</v>
      </c>
      <c r="X10" s="23"/>
    </row>
    <row r="11" spans="1:27" ht="27.75" customHeight="1" x14ac:dyDescent="0.3">
      <c r="A11" s="49">
        <f t="shared" si="4"/>
        <v>5</v>
      </c>
      <c r="B11" s="50"/>
      <c r="C11" s="124"/>
      <c r="D11" s="45"/>
      <c r="E11" s="45"/>
      <c r="F11" s="45"/>
      <c r="G11" s="51"/>
      <c r="H11" s="207"/>
      <c r="I11" s="52"/>
      <c r="J11" s="125"/>
      <c r="K11" s="126"/>
      <c r="L11" s="53"/>
      <c r="M11" s="128"/>
      <c r="N11" s="53"/>
      <c r="O11" s="149"/>
      <c r="P11" s="147"/>
      <c r="Q11" s="157">
        <f t="shared" si="5"/>
        <v>0</v>
      </c>
      <c r="R11" s="181"/>
      <c r="S11" s="156">
        <f t="shared" si="0"/>
        <v>0</v>
      </c>
      <c r="T11" s="182">
        <f t="shared" si="6"/>
        <v>0</v>
      </c>
      <c r="U11" s="186">
        <f t="shared" si="1"/>
        <v>0</v>
      </c>
      <c r="V11" s="184">
        <f t="shared" si="2"/>
        <v>0</v>
      </c>
      <c r="W11" s="185">
        <f t="shared" si="3"/>
        <v>0</v>
      </c>
      <c r="X11" s="23"/>
    </row>
    <row r="12" spans="1:27" ht="27.75" customHeight="1" x14ac:dyDescent="0.3">
      <c r="A12" s="49">
        <f t="shared" si="4"/>
        <v>6</v>
      </c>
      <c r="B12" s="50"/>
      <c r="C12" s="124"/>
      <c r="D12" s="45"/>
      <c r="E12" s="45"/>
      <c r="F12" s="45"/>
      <c r="G12" s="51"/>
      <c r="H12" s="207"/>
      <c r="I12" s="52"/>
      <c r="J12" s="125"/>
      <c r="K12" s="126"/>
      <c r="L12" s="53"/>
      <c r="M12" s="128"/>
      <c r="N12" s="53"/>
      <c r="O12" s="149"/>
      <c r="P12" s="147"/>
      <c r="Q12" s="157">
        <f t="shared" si="5"/>
        <v>0</v>
      </c>
      <c r="R12" s="181"/>
      <c r="S12" s="156">
        <f t="shared" si="0"/>
        <v>0</v>
      </c>
      <c r="T12" s="182">
        <f t="shared" si="6"/>
        <v>0</v>
      </c>
      <c r="U12" s="186">
        <f t="shared" si="1"/>
        <v>0</v>
      </c>
      <c r="V12" s="184">
        <f t="shared" si="2"/>
        <v>0</v>
      </c>
      <c r="W12" s="185">
        <f t="shared" si="3"/>
        <v>0</v>
      </c>
      <c r="X12" s="23"/>
    </row>
    <row r="13" spans="1:27" ht="27.75" customHeight="1" x14ac:dyDescent="0.3">
      <c r="A13" s="49">
        <f>+A12+1</f>
        <v>7</v>
      </c>
      <c r="B13" s="50"/>
      <c r="C13" s="124"/>
      <c r="D13" s="45"/>
      <c r="E13" s="45"/>
      <c r="F13" s="45"/>
      <c r="G13" s="51"/>
      <c r="H13" s="207"/>
      <c r="I13" s="52"/>
      <c r="J13" s="125"/>
      <c r="K13" s="126"/>
      <c r="L13" s="53"/>
      <c r="M13" s="128"/>
      <c r="N13" s="53"/>
      <c r="O13" s="149"/>
      <c r="P13" s="147"/>
      <c r="Q13" s="157">
        <f t="shared" si="5"/>
        <v>0</v>
      </c>
      <c r="R13" s="181"/>
      <c r="S13" s="156">
        <f t="shared" si="0"/>
        <v>0</v>
      </c>
      <c r="T13" s="182">
        <f t="shared" si="6"/>
        <v>0</v>
      </c>
      <c r="U13" s="186">
        <f t="shared" si="1"/>
        <v>0</v>
      </c>
      <c r="V13" s="184">
        <f t="shared" si="2"/>
        <v>0</v>
      </c>
      <c r="W13" s="185">
        <f t="shared" si="3"/>
        <v>0</v>
      </c>
      <c r="X13" s="23"/>
      <c r="Y13" s="27"/>
      <c r="Z13" s="23"/>
      <c r="AA13" s="23"/>
    </row>
    <row r="14" spans="1:27" ht="27.75" customHeight="1" x14ac:dyDescent="0.3">
      <c r="A14" s="49">
        <f t="shared" si="4"/>
        <v>8</v>
      </c>
      <c r="B14" s="50"/>
      <c r="C14" s="124"/>
      <c r="D14" s="45"/>
      <c r="E14" s="45"/>
      <c r="F14" s="45"/>
      <c r="G14" s="51"/>
      <c r="H14" s="207"/>
      <c r="I14" s="52"/>
      <c r="J14" s="125"/>
      <c r="K14" s="126"/>
      <c r="L14" s="53"/>
      <c r="M14" s="128"/>
      <c r="N14" s="53"/>
      <c r="O14" s="149"/>
      <c r="P14" s="147"/>
      <c r="Q14" s="157">
        <f t="shared" si="5"/>
        <v>0</v>
      </c>
      <c r="R14" s="181"/>
      <c r="S14" s="156">
        <f t="shared" si="0"/>
        <v>0</v>
      </c>
      <c r="T14" s="182">
        <f t="shared" si="6"/>
        <v>0</v>
      </c>
      <c r="U14" s="186">
        <f t="shared" si="1"/>
        <v>0</v>
      </c>
      <c r="V14" s="184">
        <f t="shared" si="2"/>
        <v>0</v>
      </c>
      <c r="W14" s="185">
        <f t="shared" si="3"/>
        <v>0</v>
      </c>
      <c r="X14" s="23"/>
      <c r="Y14" s="27"/>
      <c r="Z14" s="23"/>
      <c r="AA14" s="23"/>
    </row>
    <row r="15" spans="1:27" ht="27.75" customHeight="1" x14ac:dyDescent="0.3">
      <c r="A15" s="49">
        <f t="shared" si="4"/>
        <v>9</v>
      </c>
      <c r="B15" s="50"/>
      <c r="C15" s="124"/>
      <c r="D15" s="45"/>
      <c r="E15" s="45"/>
      <c r="F15" s="45"/>
      <c r="G15" s="51"/>
      <c r="H15" s="207"/>
      <c r="I15" s="52"/>
      <c r="J15" s="125"/>
      <c r="K15" s="126"/>
      <c r="L15" s="53"/>
      <c r="M15" s="128"/>
      <c r="N15" s="53"/>
      <c r="O15" s="149"/>
      <c r="P15" s="147"/>
      <c r="Q15" s="157">
        <f t="shared" si="5"/>
        <v>0</v>
      </c>
      <c r="R15" s="181"/>
      <c r="S15" s="156">
        <f t="shared" si="0"/>
        <v>0</v>
      </c>
      <c r="T15" s="182">
        <f t="shared" si="6"/>
        <v>0</v>
      </c>
      <c r="U15" s="186">
        <f t="shared" si="1"/>
        <v>0</v>
      </c>
      <c r="V15" s="184">
        <f>IF(AND(J15="Otra(s) Institución(es)",K15="Especie"),(N15*Q15)+S15,0)</f>
        <v>0</v>
      </c>
      <c r="W15" s="185">
        <f t="shared" si="3"/>
        <v>0</v>
      </c>
      <c r="X15" s="23"/>
      <c r="Y15" s="27"/>
      <c r="Z15" s="23"/>
      <c r="AA15" s="23"/>
    </row>
    <row r="16" spans="1:27" ht="27.75" customHeight="1" x14ac:dyDescent="0.3">
      <c r="A16" s="49">
        <f t="shared" si="4"/>
        <v>10</v>
      </c>
      <c r="B16" s="50"/>
      <c r="C16" s="124"/>
      <c r="D16" s="45"/>
      <c r="E16" s="45"/>
      <c r="F16" s="45"/>
      <c r="G16" s="51"/>
      <c r="H16" s="207"/>
      <c r="I16" s="52"/>
      <c r="J16" s="125"/>
      <c r="K16" s="126"/>
      <c r="L16" s="53"/>
      <c r="M16" s="128"/>
      <c r="N16" s="53"/>
      <c r="O16" s="149"/>
      <c r="P16" s="147"/>
      <c r="Q16" s="157">
        <f t="shared" si="5"/>
        <v>0</v>
      </c>
      <c r="R16" s="181"/>
      <c r="S16" s="156">
        <f t="shared" si="0"/>
        <v>0</v>
      </c>
      <c r="T16" s="182">
        <f t="shared" si="6"/>
        <v>0</v>
      </c>
      <c r="U16" s="186">
        <f t="shared" si="1"/>
        <v>0</v>
      </c>
      <c r="V16" s="184">
        <f t="shared" si="2"/>
        <v>0</v>
      </c>
      <c r="W16" s="185">
        <f t="shared" si="3"/>
        <v>0</v>
      </c>
      <c r="X16" s="23"/>
      <c r="Y16" s="27"/>
      <c r="Z16" s="23"/>
      <c r="AA16" s="23"/>
    </row>
    <row r="17" spans="1:27" ht="27.75" customHeight="1" x14ac:dyDescent="0.3">
      <c r="A17" s="49">
        <f t="shared" si="4"/>
        <v>11</v>
      </c>
      <c r="B17" s="50"/>
      <c r="C17" s="124"/>
      <c r="D17" s="45"/>
      <c r="E17" s="45"/>
      <c r="F17" s="45"/>
      <c r="G17" s="51"/>
      <c r="H17" s="207"/>
      <c r="I17" s="52"/>
      <c r="J17" s="125"/>
      <c r="K17" s="126"/>
      <c r="L17" s="53"/>
      <c r="M17" s="128"/>
      <c r="N17" s="53"/>
      <c r="O17" s="149"/>
      <c r="P17" s="147"/>
      <c r="Q17" s="157">
        <f t="shared" si="5"/>
        <v>0</v>
      </c>
      <c r="R17" s="181"/>
      <c r="S17" s="156">
        <f t="shared" si="0"/>
        <v>0</v>
      </c>
      <c r="T17" s="182">
        <f t="shared" si="6"/>
        <v>0</v>
      </c>
      <c r="U17" s="186">
        <f t="shared" si="1"/>
        <v>0</v>
      </c>
      <c r="V17" s="184">
        <f t="shared" si="2"/>
        <v>0</v>
      </c>
      <c r="W17" s="185">
        <f t="shared" si="3"/>
        <v>0</v>
      </c>
      <c r="X17" s="23"/>
      <c r="Y17" s="27"/>
      <c r="Z17" s="23"/>
      <c r="AA17" s="23"/>
    </row>
    <row r="18" spans="1:27" ht="27.75" customHeight="1" x14ac:dyDescent="0.3">
      <c r="A18" s="49">
        <f t="shared" si="4"/>
        <v>12</v>
      </c>
      <c r="B18" s="50"/>
      <c r="C18" s="124"/>
      <c r="D18" s="45"/>
      <c r="E18" s="45"/>
      <c r="F18" s="45"/>
      <c r="G18" s="51"/>
      <c r="H18" s="207"/>
      <c r="I18" s="52"/>
      <c r="J18" s="125"/>
      <c r="K18" s="126"/>
      <c r="L18" s="53"/>
      <c r="M18" s="128"/>
      <c r="N18" s="53"/>
      <c r="O18" s="149"/>
      <c r="P18" s="147"/>
      <c r="Q18" s="157">
        <f t="shared" si="5"/>
        <v>0</v>
      </c>
      <c r="R18" s="181"/>
      <c r="S18" s="156">
        <f t="shared" si="0"/>
        <v>0</v>
      </c>
      <c r="T18" s="182">
        <f t="shared" si="6"/>
        <v>0</v>
      </c>
      <c r="U18" s="186">
        <f t="shared" si="1"/>
        <v>0</v>
      </c>
      <c r="V18" s="184">
        <f t="shared" si="2"/>
        <v>0</v>
      </c>
      <c r="W18" s="185">
        <f t="shared" si="3"/>
        <v>0</v>
      </c>
      <c r="X18" s="23"/>
      <c r="Y18" s="27"/>
      <c r="Z18" s="23"/>
      <c r="AA18" s="23"/>
    </row>
    <row r="19" spans="1:27" ht="27.75" customHeight="1" x14ac:dyDescent="0.3">
      <c r="A19" s="49">
        <f t="shared" si="4"/>
        <v>13</v>
      </c>
      <c r="B19" s="50"/>
      <c r="C19" s="124"/>
      <c r="D19" s="45"/>
      <c r="E19" s="45"/>
      <c r="F19" s="45"/>
      <c r="G19" s="51"/>
      <c r="H19" s="207"/>
      <c r="I19" s="52"/>
      <c r="J19" s="125"/>
      <c r="K19" s="126"/>
      <c r="L19" s="53"/>
      <c r="M19" s="128"/>
      <c r="N19" s="53"/>
      <c r="O19" s="149"/>
      <c r="P19" s="147"/>
      <c r="Q19" s="157">
        <f t="shared" si="5"/>
        <v>0</v>
      </c>
      <c r="R19" s="181"/>
      <c r="S19" s="156">
        <f t="shared" si="0"/>
        <v>0</v>
      </c>
      <c r="T19" s="182">
        <f t="shared" si="6"/>
        <v>0</v>
      </c>
      <c r="U19" s="186">
        <f t="shared" si="1"/>
        <v>0</v>
      </c>
      <c r="V19" s="184">
        <f t="shared" si="2"/>
        <v>0</v>
      </c>
      <c r="W19" s="185">
        <f t="shared" si="3"/>
        <v>0</v>
      </c>
      <c r="X19" s="23"/>
      <c r="Y19" s="27"/>
      <c r="Z19" s="23"/>
      <c r="AA19" s="23"/>
    </row>
    <row r="20" spans="1:27" ht="27.75" customHeight="1" x14ac:dyDescent="0.3">
      <c r="A20" s="49">
        <f t="shared" si="4"/>
        <v>14</v>
      </c>
      <c r="B20" s="50"/>
      <c r="C20" s="124"/>
      <c r="D20" s="45"/>
      <c r="E20" s="45"/>
      <c r="F20" s="45"/>
      <c r="G20" s="51"/>
      <c r="H20" s="207"/>
      <c r="I20" s="52"/>
      <c r="J20" s="125"/>
      <c r="K20" s="126"/>
      <c r="L20" s="53"/>
      <c r="M20" s="128"/>
      <c r="N20" s="53"/>
      <c r="O20" s="149"/>
      <c r="P20" s="147"/>
      <c r="Q20" s="157">
        <f t="shared" si="5"/>
        <v>0</v>
      </c>
      <c r="R20" s="181"/>
      <c r="S20" s="156">
        <f t="shared" si="0"/>
        <v>0</v>
      </c>
      <c r="T20" s="182">
        <f t="shared" si="6"/>
        <v>0</v>
      </c>
      <c r="U20" s="186">
        <f t="shared" si="1"/>
        <v>0</v>
      </c>
      <c r="V20" s="184">
        <f t="shared" si="2"/>
        <v>0</v>
      </c>
      <c r="W20" s="185">
        <f t="shared" si="3"/>
        <v>0</v>
      </c>
      <c r="X20" s="23"/>
      <c r="Y20" s="27"/>
      <c r="Z20" s="23"/>
      <c r="AA20" s="23"/>
    </row>
    <row r="21" spans="1:27" ht="27.75" customHeight="1" x14ac:dyDescent="0.3">
      <c r="A21" s="49">
        <f t="shared" si="4"/>
        <v>15</v>
      </c>
      <c r="B21" s="50"/>
      <c r="C21" s="124"/>
      <c r="D21" s="45"/>
      <c r="E21" s="45"/>
      <c r="F21" s="45"/>
      <c r="G21" s="51"/>
      <c r="H21" s="207"/>
      <c r="I21" s="52"/>
      <c r="J21" s="125"/>
      <c r="K21" s="126"/>
      <c r="L21" s="53"/>
      <c r="M21" s="128"/>
      <c r="N21" s="53"/>
      <c r="O21" s="149"/>
      <c r="P21" s="147"/>
      <c r="Q21" s="157">
        <f t="shared" si="5"/>
        <v>0</v>
      </c>
      <c r="R21" s="181"/>
      <c r="S21" s="156">
        <f t="shared" si="0"/>
        <v>0</v>
      </c>
      <c r="T21" s="182">
        <f t="shared" si="6"/>
        <v>0</v>
      </c>
      <c r="U21" s="186">
        <f t="shared" si="1"/>
        <v>0</v>
      </c>
      <c r="V21" s="184">
        <f t="shared" si="2"/>
        <v>0</v>
      </c>
      <c r="W21" s="185">
        <f t="shared" si="3"/>
        <v>0</v>
      </c>
      <c r="X21" s="23"/>
      <c r="Y21" s="27"/>
      <c r="Z21" s="23"/>
      <c r="AA21" s="23"/>
    </row>
    <row r="22" spans="1:27" ht="27.75" customHeight="1" x14ac:dyDescent="0.3">
      <c r="A22" s="49">
        <f t="shared" si="4"/>
        <v>16</v>
      </c>
      <c r="B22" s="50"/>
      <c r="C22" s="124"/>
      <c r="D22" s="45"/>
      <c r="E22" s="45"/>
      <c r="F22" s="45"/>
      <c r="G22" s="51"/>
      <c r="H22" s="207"/>
      <c r="I22" s="52"/>
      <c r="J22" s="125"/>
      <c r="K22" s="126"/>
      <c r="L22" s="53"/>
      <c r="M22" s="128"/>
      <c r="N22" s="53"/>
      <c r="O22" s="149"/>
      <c r="P22" s="147"/>
      <c r="Q22" s="157">
        <f t="shared" si="5"/>
        <v>0</v>
      </c>
      <c r="R22" s="181"/>
      <c r="S22" s="156">
        <f t="shared" si="0"/>
        <v>0</v>
      </c>
      <c r="T22" s="182">
        <f t="shared" si="6"/>
        <v>0</v>
      </c>
      <c r="U22" s="186">
        <f t="shared" si="1"/>
        <v>0</v>
      </c>
      <c r="V22" s="184">
        <f t="shared" si="2"/>
        <v>0</v>
      </c>
      <c r="W22" s="185">
        <f t="shared" si="3"/>
        <v>0</v>
      </c>
      <c r="X22" s="23"/>
      <c r="Y22" s="27"/>
      <c r="Z22" s="23"/>
      <c r="AA22" s="23"/>
    </row>
    <row r="23" spans="1:27" ht="27.75" customHeight="1" x14ac:dyDescent="0.3">
      <c r="A23" s="49">
        <f t="shared" si="4"/>
        <v>17</v>
      </c>
      <c r="B23" s="50"/>
      <c r="C23" s="124"/>
      <c r="D23" s="45"/>
      <c r="E23" s="45"/>
      <c r="F23" s="45"/>
      <c r="G23" s="51"/>
      <c r="H23" s="207"/>
      <c r="I23" s="52"/>
      <c r="J23" s="125"/>
      <c r="K23" s="126"/>
      <c r="L23" s="53"/>
      <c r="M23" s="128"/>
      <c r="N23" s="53"/>
      <c r="O23" s="149"/>
      <c r="P23" s="147"/>
      <c r="Q23" s="157">
        <f t="shared" ref="Q23:Q25" si="7">L23*P23*4</f>
        <v>0</v>
      </c>
      <c r="R23" s="181"/>
      <c r="S23" s="156">
        <f t="shared" si="0"/>
        <v>0</v>
      </c>
      <c r="T23" s="182">
        <f t="shared" si="6"/>
        <v>0</v>
      </c>
      <c r="U23" s="186">
        <f t="shared" ref="U23:U25" si="8">IF(AND(J23="UIS",K23="Especie"),N23*Q23,0)</f>
        <v>0</v>
      </c>
      <c r="V23" s="184">
        <f t="shared" ref="V23:V25" si="9">IF(AND(J23="Otra(s) Institución(es)",K23="Especie"),(N23*Q23)+S23,0)</f>
        <v>0</v>
      </c>
      <c r="W23" s="185">
        <f t="shared" si="3"/>
        <v>0</v>
      </c>
      <c r="X23" s="23"/>
      <c r="Y23" s="27"/>
      <c r="Z23" s="23"/>
      <c r="AA23" s="23"/>
    </row>
    <row r="24" spans="1:27" ht="27.75" customHeight="1" x14ac:dyDescent="0.3">
      <c r="A24" s="49">
        <f t="shared" si="4"/>
        <v>18</v>
      </c>
      <c r="B24" s="50"/>
      <c r="C24" s="124"/>
      <c r="D24" s="45"/>
      <c r="E24" s="45"/>
      <c r="F24" s="45"/>
      <c r="G24" s="51"/>
      <c r="H24" s="207"/>
      <c r="I24" s="52"/>
      <c r="J24" s="125"/>
      <c r="K24" s="126"/>
      <c r="L24" s="53"/>
      <c r="M24" s="128"/>
      <c r="N24" s="53"/>
      <c r="O24" s="149"/>
      <c r="P24" s="147"/>
      <c r="Q24" s="157">
        <f t="shared" si="7"/>
        <v>0</v>
      </c>
      <c r="R24" s="181"/>
      <c r="S24" s="156">
        <f t="shared" si="0"/>
        <v>0</v>
      </c>
      <c r="T24" s="182">
        <f t="shared" si="6"/>
        <v>0</v>
      </c>
      <c r="U24" s="186">
        <f t="shared" si="8"/>
        <v>0</v>
      </c>
      <c r="V24" s="184">
        <f t="shared" si="9"/>
        <v>0</v>
      </c>
      <c r="W24" s="185">
        <f t="shared" si="3"/>
        <v>0</v>
      </c>
      <c r="X24" s="23"/>
      <c r="Y24" s="27"/>
      <c r="Z24" s="23"/>
      <c r="AA24" s="23"/>
    </row>
    <row r="25" spans="1:27" ht="27.75" customHeight="1" x14ac:dyDescent="0.3">
      <c r="A25" s="49">
        <f t="shared" si="4"/>
        <v>19</v>
      </c>
      <c r="B25" s="50"/>
      <c r="C25" s="124"/>
      <c r="D25" s="45"/>
      <c r="E25" s="45"/>
      <c r="F25" s="45"/>
      <c r="G25" s="51"/>
      <c r="H25" s="207"/>
      <c r="I25" s="52"/>
      <c r="J25" s="125"/>
      <c r="K25" s="126"/>
      <c r="L25" s="53"/>
      <c r="M25" s="128"/>
      <c r="N25" s="53"/>
      <c r="O25" s="149"/>
      <c r="P25" s="147"/>
      <c r="Q25" s="157">
        <f t="shared" si="7"/>
        <v>0</v>
      </c>
      <c r="R25" s="181"/>
      <c r="S25" s="156">
        <f t="shared" si="0"/>
        <v>0</v>
      </c>
      <c r="T25" s="182">
        <f t="shared" si="6"/>
        <v>0</v>
      </c>
      <c r="U25" s="186">
        <f t="shared" si="8"/>
        <v>0</v>
      </c>
      <c r="V25" s="184">
        <f t="shared" si="9"/>
        <v>0</v>
      </c>
      <c r="W25" s="185">
        <f t="shared" si="3"/>
        <v>0</v>
      </c>
      <c r="X25" s="23"/>
      <c r="Y25" s="27"/>
      <c r="Z25" s="23"/>
      <c r="AA25" s="23"/>
    </row>
    <row r="26" spans="1:27" ht="27.75" customHeight="1" x14ac:dyDescent="0.3">
      <c r="A26" s="49">
        <f t="shared" si="4"/>
        <v>20</v>
      </c>
      <c r="B26" s="50"/>
      <c r="C26" s="124"/>
      <c r="D26" s="45"/>
      <c r="E26" s="45"/>
      <c r="F26" s="45"/>
      <c r="G26" s="51"/>
      <c r="H26" s="207"/>
      <c r="I26" s="52"/>
      <c r="J26" s="125"/>
      <c r="K26" s="126"/>
      <c r="L26" s="53"/>
      <c r="M26" s="128"/>
      <c r="N26" s="53"/>
      <c r="O26" s="149"/>
      <c r="P26" s="147"/>
      <c r="Q26" s="157">
        <f t="shared" si="5"/>
        <v>0</v>
      </c>
      <c r="R26" s="181"/>
      <c r="S26" s="156">
        <f t="shared" si="0"/>
        <v>0</v>
      </c>
      <c r="T26" s="182">
        <f t="shared" si="6"/>
        <v>0</v>
      </c>
      <c r="U26" s="186">
        <f t="shared" si="1"/>
        <v>0</v>
      </c>
      <c r="V26" s="184">
        <f t="shared" si="2"/>
        <v>0</v>
      </c>
      <c r="W26" s="185">
        <f t="shared" si="3"/>
        <v>0</v>
      </c>
      <c r="X26" s="23"/>
      <c r="Y26" s="27"/>
      <c r="Z26" s="23"/>
      <c r="AA26" s="23"/>
    </row>
    <row r="27" spans="1:27" ht="27.75" customHeight="1" x14ac:dyDescent="0.3">
      <c r="A27" s="49">
        <f t="shared" si="4"/>
        <v>21</v>
      </c>
      <c r="B27" s="50"/>
      <c r="C27" s="124"/>
      <c r="D27" s="45"/>
      <c r="E27" s="45"/>
      <c r="F27" s="45"/>
      <c r="G27" s="51"/>
      <c r="H27" s="207"/>
      <c r="I27" s="52"/>
      <c r="J27" s="125"/>
      <c r="K27" s="126"/>
      <c r="L27" s="53"/>
      <c r="M27" s="128"/>
      <c r="N27" s="53"/>
      <c r="O27" s="149"/>
      <c r="P27" s="147"/>
      <c r="Q27" s="157">
        <f t="shared" si="5"/>
        <v>0</v>
      </c>
      <c r="R27" s="181"/>
      <c r="S27" s="156">
        <f t="shared" si="0"/>
        <v>0</v>
      </c>
      <c r="T27" s="182">
        <f t="shared" si="6"/>
        <v>0</v>
      </c>
      <c r="U27" s="186">
        <f t="shared" si="1"/>
        <v>0</v>
      </c>
      <c r="V27" s="184">
        <f t="shared" si="2"/>
        <v>0</v>
      </c>
      <c r="W27" s="185">
        <f t="shared" si="3"/>
        <v>0</v>
      </c>
      <c r="X27" s="23"/>
      <c r="Y27" s="27"/>
      <c r="Z27" s="23"/>
      <c r="AA27" s="23"/>
    </row>
    <row r="28" spans="1:27" ht="27.75" customHeight="1" x14ac:dyDescent="0.3">
      <c r="A28" s="49">
        <f t="shared" si="4"/>
        <v>22</v>
      </c>
      <c r="B28" s="50"/>
      <c r="C28" s="124"/>
      <c r="D28" s="45"/>
      <c r="E28" s="45"/>
      <c r="F28" s="45"/>
      <c r="G28" s="51"/>
      <c r="H28" s="207"/>
      <c r="I28" s="52"/>
      <c r="J28" s="125"/>
      <c r="K28" s="126"/>
      <c r="L28" s="53"/>
      <c r="M28" s="128"/>
      <c r="N28" s="53"/>
      <c r="O28" s="149"/>
      <c r="P28" s="147"/>
      <c r="Q28" s="157">
        <f t="shared" si="5"/>
        <v>0</v>
      </c>
      <c r="R28" s="181"/>
      <c r="S28" s="156">
        <f t="shared" si="0"/>
        <v>0</v>
      </c>
      <c r="T28" s="182">
        <f t="shared" si="6"/>
        <v>0</v>
      </c>
      <c r="U28" s="186">
        <f t="shared" si="1"/>
        <v>0</v>
      </c>
      <c r="V28" s="184">
        <f t="shared" si="2"/>
        <v>0</v>
      </c>
      <c r="W28" s="185">
        <f t="shared" si="3"/>
        <v>0</v>
      </c>
      <c r="X28" s="23"/>
      <c r="Y28" s="27"/>
      <c r="Z28" s="23"/>
      <c r="AA28" s="23"/>
    </row>
    <row r="29" spans="1:27" ht="27.75" customHeight="1" x14ac:dyDescent="0.3">
      <c r="A29" s="49">
        <f t="shared" si="4"/>
        <v>23</v>
      </c>
      <c r="B29" s="54"/>
      <c r="C29" s="124"/>
      <c r="D29" s="45"/>
      <c r="E29" s="204"/>
      <c r="F29" s="45"/>
      <c r="G29" s="55"/>
      <c r="H29" s="208"/>
      <c r="I29" s="56"/>
      <c r="J29" s="125"/>
      <c r="K29" s="126"/>
      <c r="L29" s="57"/>
      <c r="M29" s="129"/>
      <c r="N29" s="57"/>
      <c r="O29" s="149"/>
      <c r="P29" s="147"/>
      <c r="Q29" s="158">
        <f t="shared" si="5"/>
        <v>0</v>
      </c>
      <c r="R29" s="181"/>
      <c r="S29" s="156">
        <f t="shared" si="0"/>
        <v>0</v>
      </c>
      <c r="T29" s="182">
        <f t="shared" si="6"/>
        <v>0</v>
      </c>
      <c r="U29" s="187">
        <f t="shared" si="1"/>
        <v>0</v>
      </c>
      <c r="V29" s="184">
        <f>IF(AND(J29="Otra(s) Institución(es)",K29="Especie"),(N29*Q29)+S29,0)</f>
        <v>0</v>
      </c>
      <c r="W29" s="185">
        <f t="shared" si="3"/>
        <v>0</v>
      </c>
      <c r="X29" s="30"/>
      <c r="Y29" s="58"/>
      <c r="Z29" s="30"/>
      <c r="AA29" s="30"/>
    </row>
    <row r="30" spans="1:27" ht="15.5" x14ac:dyDescent="0.3">
      <c r="A30" s="59"/>
      <c r="B30" s="60"/>
      <c r="C30" s="60"/>
      <c r="D30" s="60"/>
      <c r="E30" s="60"/>
      <c r="F30" s="60"/>
      <c r="G30" s="60"/>
      <c r="H30" s="60"/>
      <c r="I30" s="61"/>
      <c r="J30" s="386" t="s">
        <v>79</v>
      </c>
      <c r="K30" s="387"/>
      <c r="L30" s="387"/>
      <c r="M30" s="387"/>
      <c r="N30" s="387"/>
      <c r="O30" s="387"/>
      <c r="P30" s="387"/>
      <c r="Q30" s="387"/>
      <c r="R30" s="387"/>
      <c r="S30" s="62">
        <f>SUM(S7:S29)</f>
        <v>0</v>
      </c>
      <c r="T30" s="63">
        <f>SUM(T7:T29)</f>
        <v>0</v>
      </c>
      <c r="U30" s="64">
        <f>SUM(U7:U29)</f>
        <v>0</v>
      </c>
      <c r="V30" s="64">
        <f>SUM(V7:V29)</f>
        <v>0</v>
      </c>
      <c r="W30" s="65">
        <f>SUM(W7:W29)</f>
        <v>0</v>
      </c>
      <c r="X30" s="23"/>
      <c r="Y30" s="27"/>
      <c r="Z30" s="23"/>
      <c r="AA30" s="23"/>
    </row>
    <row r="32" spans="1:27" x14ac:dyDescent="0.3">
      <c r="C32" s="28"/>
      <c r="D32" s="28"/>
      <c r="E32" s="28"/>
      <c r="F32" s="28"/>
      <c r="G32" s="66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3:17" x14ac:dyDescent="0.3">
      <c r="C33" s="138" t="s">
        <v>80</v>
      </c>
      <c r="D33" s="138"/>
      <c r="E33" s="138"/>
      <c r="F33" s="138"/>
      <c r="G33" s="138"/>
      <c r="H33" s="138"/>
      <c r="I33" s="143"/>
      <c r="J33" s="143"/>
      <c r="K33" s="143"/>
      <c r="L33" s="373"/>
      <c r="M33" s="373"/>
      <c r="N33" s="373"/>
      <c r="P33" s="28"/>
      <c r="Q33" s="28"/>
    </row>
    <row r="34" spans="3:17" x14ac:dyDescent="0.3">
      <c r="C34" s="112" t="s">
        <v>81</v>
      </c>
      <c r="D34" s="112" t="s">
        <v>82</v>
      </c>
      <c r="E34" s="344" t="s">
        <v>83</v>
      </c>
      <c r="F34" s="345"/>
      <c r="G34" s="345"/>
      <c r="H34" s="346"/>
      <c r="I34" s="40"/>
      <c r="J34" s="40"/>
      <c r="K34" s="40"/>
      <c r="M34" s="28"/>
      <c r="N34" s="28"/>
    </row>
    <row r="35" spans="3:17" ht="42.75" customHeight="1" x14ac:dyDescent="0.3">
      <c r="C35" s="113" t="s">
        <v>84</v>
      </c>
      <c r="D35" s="114">
        <v>5.2199999999999998E-3</v>
      </c>
      <c r="E35" s="347" t="s">
        <v>85</v>
      </c>
      <c r="F35" s="348"/>
      <c r="G35" s="348"/>
      <c r="H35" s="349"/>
      <c r="I35" s="27"/>
      <c r="J35" s="122"/>
      <c r="K35" s="122"/>
      <c r="M35" s="28"/>
      <c r="N35" s="28"/>
    </row>
    <row r="36" spans="3:17" ht="47.25" customHeight="1" x14ac:dyDescent="0.3">
      <c r="C36" s="113" t="s">
        <v>86</v>
      </c>
      <c r="D36" s="114">
        <v>1.044E-2</v>
      </c>
      <c r="E36" s="347" t="s">
        <v>87</v>
      </c>
      <c r="F36" s="348"/>
      <c r="G36" s="348"/>
      <c r="H36" s="349"/>
      <c r="I36" s="27"/>
      <c r="J36" s="122"/>
      <c r="K36" s="123"/>
      <c r="M36" s="28"/>
      <c r="N36" s="28"/>
    </row>
    <row r="37" spans="3:17" ht="44.25" customHeight="1" x14ac:dyDescent="0.3">
      <c r="C37" s="113" t="s">
        <v>88</v>
      </c>
      <c r="D37" s="114">
        <v>2.436E-2</v>
      </c>
      <c r="E37" s="347" t="s">
        <v>89</v>
      </c>
      <c r="F37" s="348"/>
      <c r="G37" s="348"/>
      <c r="H37" s="349"/>
      <c r="I37" s="27"/>
      <c r="J37" s="122"/>
      <c r="K37" s="121"/>
      <c r="M37" s="28"/>
      <c r="N37" s="28"/>
    </row>
    <row r="38" spans="3:17" ht="42.75" customHeight="1" x14ac:dyDescent="0.3">
      <c r="C38" s="113" t="s">
        <v>90</v>
      </c>
      <c r="D38" s="114">
        <v>4.3499999999999997E-2</v>
      </c>
      <c r="E38" s="347" t="s">
        <v>91</v>
      </c>
      <c r="F38" s="348"/>
      <c r="G38" s="348"/>
      <c r="H38" s="349"/>
      <c r="I38" s="27"/>
      <c r="J38" s="122"/>
      <c r="K38" s="121"/>
      <c r="M38" s="28"/>
      <c r="N38" s="28"/>
    </row>
    <row r="39" spans="3:17" ht="40.5" customHeight="1" x14ac:dyDescent="0.3">
      <c r="C39" s="113" t="s">
        <v>92</v>
      </c>
      <c r="D39" s="114">
        <v>6.9599999999999995E-2</v>
      </c>
      <c r="E39" s="347" t="s">
        <v>93</v>
      </c>
      <c r="F39" s="348"/>
      <c r="G39" s="348"/>
      <c r="H39" s="349"/>
      <c r="I39" s="27"/>
      <c r="J39" s="122"/>
      <c r="K39" s="122"/>
      <c r="M39" s="28"/>
      <c r="N39" s="28"/>
    </row>
    <row r="40" spans="3:17" x14ac:dyDescent="0.3">
      <c r="C40" s="28"/>
      <c r="D40" s="28"/>
      <c r="E40" s="28"/>
      <c r="F40" s="28"/>
      <c r="G40" s="28"/>
      <c r="H40" s="28"/>
      <c r="I40" s="28"/>
      <c r="J40" s="28"/>
      <c r="K40" s="28"/>
      <c r="L40" s="27"/>
      <c r="M40" s="8"/>
      <c r="N40" s="8"/>
      <c r="O40" s="28"/>
      <c r="P40" s="28"/>
      <c r="Q40" s="28"/>
    </row>
    <row r="41" spans="3:17" x14ac:dyDescent="0.3">
      <c r="C41" s="143" t="s">
        <v>94</v>
      </c>
      <c r="D41" s="143"/>
      <c r="E41" s="143"/>
      <c r="F41" s="143"/>
      <c r="G41" s="143"/>
      <c r="H41" s="143"/>
      <c r="I41" s="143"/>
      <c r="J41" s="28"/>
      <c r="K41" s="28"/>
      <c r="L41" s="27"/>
      <c r="M41" s="8"/>
      <c r="N41" s="8"/>
      <c r="O41" s="28"/>
      <c r="P41" s="28"/>
      <c r="Q41" s="28"/>
    </row>
    <row r="42" spans="3:17" ht="39" x14ac:dyDescent="0.3">
      <c r="C42" s="117" t="s">
        <v>95</v>
      </c>
      <c r="D42" s="117" t="s">
        <v>58</v>
      </c>
      <c r="E42" s="141" t="s">
        <v>337</v>
      </c>
      <c r="F42" s="142" t="s">
        <v>96</v>
      </c>
      <c r="G42" s="142" t="s">
        <v>338</v>
      </c>
      <c r="H42" s="341" t="s">
        <v>97</v>
      </c>
      <c r="I42" s="342"/>
      <c r="J42" s="342"/>
      <c r="K42" s="343"/>
      <c r="L42" s="28"/>
      <c r="M42" s="28"/>
    </row>
    <row r="43" spans="3:17" x14ac:dyDescent="0.3">
      <c r="C43" s="115">
        <v>1</v>
      </c>
      <c r="D43" s="120" t="s">
        <v>98</v>
      </c>
      <c r="E43" s="131">
        <v>305000</v>
      </c>
      <c r="F43" s="139">
        <v>305000</v>
      </c>
      <c r="G43" s="139">
        <v>305000</v>
      </c>
      <c r="H43" s="338"/>
      <c r="I43" s="339"/>
      <c r="J43" s="339"/>
      <c r="K43" s="340"/>
      <c r="L43" s="28"/>
      <c r="M43" s="28"/>
    </row>
    <row r="44" spans="3:17" x14ac:dyDescent="0.3">
      <c r="C44" s="115">
        <v>2</v>
      </c>
      <c r="D44" s="120" t="s">
        <v>99</v>
      </c>
      <c r="E44" s="131">
        <v>305000</v>
      </c>
      <c r="F44" s="139">
        <v>305000</v>
      </c>
      <c r="G44" s="139">
        <v>305000</v>
      </c>
      <c r="H44" s="338"/>
      <c r="I44" s="339"/>
      <c r="J44" s="339"/>
      <c r="K44" s="340"/>
    </row>
    <row r="45" spans="3:17" ht="61.5" customHeight="1" x14ac:dyDescent="0.3">
      <c r="C45" s="115">
        <v>3</v>
      </c>
      <c r="D45" s="120" t="s">
        <v>100</v>
      </c>
      <c r="E45" s="132">
        <f>(3*smlmv2022)/(30*8)</f>
        <v>14500</v>
      </c>
      <c r="F45" s="140">
        <f>(3*aproxsmlmv2023)/(30*8)</f>
        <v>15370</v>
      </c>
      <c r="G45" s="140">
        <f>(3*Aproxsml2024)/(30*8)</f>
        <v>16292.2</v>
      </c>
      <c r="H45" s="335" t="s">
        <v>101</v>
      </c>
      <c r="I45" s="336"/>
      <c r="J45" s="336"/>
      <c r="K45" s="337"/>
    </row>
    <row r="46" spans="3:17" ht="58.5" customHeight="1" x14ac:dyDescent="0.3">
      <c r="C46" s="115">
        <v>4</v>
      </c>
      <c r="D46" s="116" t="s">
        <v>102</v>
      </c>
      <c r="E46" s="132">
        <f>(2*smlmv2022)/(30*8)</f>
        <v>9666.6666666666661</v>
      </c>
      <c r="F46" s="140">
        <f>(2*aproxsmlmv2023)/(30*8)</f>
        <v>10246.666666666666</v>
      </c>
      <c r="G46" s="140">
        <f>(2*Aproxsml2024)/(30*8)</f>
        <v>10861.466666666667</v>
      </c>
      <c r="H46" s="335" t="s">
        <v>103</v>
      </c>
      <c r="I46" s="336"/>
      <c r="J46" s="336"/>
      <c r="K46" s="337"/>
    </row>
    <row r="47" spans="3:17" ht="58.5" customHeight="1" x14ac:dyDescent="0.3">
      <c r="C47" s="115">
        <v>5</v>
      </c>
      <c r="D47" s="116" t="s">
        <v>104</v>
      </c>
      <c r="E47" s="132">
        <f>(2*smlmv2022)/(30*8)</f>
        <v>9666.6666666666661</v>
      </c>
      <c r="F47" s="140">
        <f>(2*aproxsmlmv2023)/(30*8)</f>
        <v>10246.666666666666</v>
      </c>
      <c r="G47" s="140">
        <f>(2*Aproxsml2024)/(30*8)</f>
        <v>10861.466666666667</v>
      </c>
      <c r="H47" s="335" t="s">
        <v>101</v>
      </c>
      <c r="I47" s="336"/>
      <c r="J47" s="336"/>
      <c r="K47" s="337"/>
    </row>
    <row r="48" spans="3:17" ht="58.5" customHeight="1" x14ac:dyDescent="0.3">
      <c r="C48" s="115">
        <v>6</v>
      </c>
      <c r="D48" s="116" t="s">
        <v>105</v>
      </c>
      <c r="E48" s="131">
        <f>smlmv2022/120</f>
        <v>9666.6666666666661</v>
      </c>
      <c r="F48" s="139">
        <f>aproxsmlmv2023/120</f>
        <v>10246.666666666666</v>
      </c>
      <c r="G48" s="139">
        <f>Aproxsml2024/120</f>
        <v>10861.466666666667</v>
      </c>
      <c r="H48" s="335" t="s">
        <v>106</v>
      </c>
      <c r="I48" s="336"/>
      <c r="J48" s="336"/>
      <c r="K48" s="337"/>
    </row>
    <row r="49" spans="3:11" ht="29.25" customHeight="1" x14ac:dyDescent="0.3">
      <c r="C49" s="115">
        <v>7</v>
      </c>
      <c r="D49" s="116" t="s">
        <v>107</v>
      </c>
      <c r="E49" s="193" t="s">
        <v>108</v>
      </c>
      <c r="F49" s="193" t="s">
        <v>108</v>
      </c>
      <c r="G49" s="193" t="s">
        <v>108</v>
      </c>
      <c r="H49" s="335" t="s">
        <v>109</v>
      </c>
      <c r="I49" s="336"/>
      <c r="J49" s="336"/>
      <c r="K49" s="337"/>
    </row>
    <row r="50" spans="3:11" ht="29.25" customHeight="1" x14ac:dyDescent="0.3">
      <c r="C50" s="115">
        <v>8</v>
      </c>
      <c r="D50" s="116" t="s">
        <v>110</v>
      </c>
      <c r="E50" s="193" t="s">
        <v>108</v>
      </c>
      <c r="F50" s="193" t="s">
        <v>108</v>
      </c>
      <c r="G50" s="193" t="s">
        <v>108</v>
      </c>
      <c r="H50" s="335" t="s">
        <v>109</v>
      </c>
      <c r="I50" s="336"/>
      <c r="J50" s="336"/>
      <c r="K50" s="337"/>
    </row>
    <row r="52" spans="3:11" x14ac:dyDescent="0.3">
      <c r="C52" s="29" t="s">
        <v>111</v>
      </c>
    </row>
  </sheetData>
  <mergeCells count="46">
    <mergeCell ref="A1:W1"/>
    <mergeCell ref="L33:N33"/>
    <mergeCell ref="A4:A6"/>
    <mergeCell ref="B4:I4"/>
    <mergeCell ref="T4:W4"/>
    <mergeCell ref="B5:B6"/>
    <mergeCell ref="C5:C6"/>
    <mergeCell ref="G5:G6"/>
    <mergeCell ref="V5:W5"/>
    <mergeCell ref="M5:M6"/>
    <mergeCell ref="R5:R6"/>
    <mergeCell ref="C3:W3"/>
    <mergeCell ref="C2:W2"/>
    <mergeCell ref="J30:R30"/>
    <mergeCell ref="A2:B2"/>
    <mergeCell ref="A3:B3"/>
    <mergeCell ref="J4:S4"/>
    <mergeCell ref="T5:U5"/>
    <mergeCell ref="K5:K6"/>
    <mergeCell ref="L5:L6"/>
    <mergeCell ref="N5:N6"/>
    <mergeCell ref="O5:O6"/>
    <mergeCell ref="P5:P6"/>
    <mergeCell ref="Q5:Q6"/>
    <mergeCell ref="H5:H6"/>
    <mergeCell ref="I5:I6"/>
    <mergeCell ref="J5:J6"/>
    <mergeCell ref="S5:S6"/>
    <mergeCell ref="D5:D6"/>
    <mergeCell ref="E5:E6"/>
    <mergeCell ref="F5:F6"/>
    <mergeCell ref="H42:K42"/>
    <mergeCell ref="E34:H34"/>
    <mergeCell ref="E39:H39"/>
    <mergeCell ref="E38:H38"/>
    <mergeCell ref="E37:H37"/>
    <mergeCell ref="E36:H36"/>
    <mergeCell ref="E35:H35"/>
    <mergeCell ref="H47:K47"/>
    <mergeCell ref="H48:K48"/>
    <mergeCell ref="H50:K50"/>
    <mergeCell ref="H49:K49"/>
    <mergeCell ref="H43:K43"/>
    <mergeCell ref="H44:K44"/>
    <mergeCell ref="H45:K45"/>
    <mergeCell ref="H46:K46"/>
  </mergeCells>
  <dataValidations xWindow="1248" yWindow="455" count="7">
    <dataValidation allowBlank="1" showInputMessage="1" showErrorMessage="1" prompt="Este rubro aplica para la vinculación de estudiantes en modalidad de auxiliatura y se calcula multiplicando los meses de vinculación, el porcentaje del riesgo y el smlmv, según tabla 1. " sqref="S7:S29" xr:uid="{00000000-0002-0000-0100-000000000000}"/>
    <dataValidation type="list" allowBlank="1" showInputMessage="1" showErrorMessage="1" prompt="Se deberá diligenciar fila por cada año según la ejecución de la propuesta, de acuerdo a los términos de referencia de la convocatoria." sqref="M7:M29" xr:uid="{00000000-0002-0000-0100-000001000000}">
      <formula1>año</formula1>
    </dataValidation>
    <dataValidation allowBlank="1" showInputMessage="1" showErrorMessage="1" promptTitle="Diligenciar" sqref="E45:G47" xr:uid="{00000000-0002-0000-0100-000002000000}"/>
    <dataValidation allowBlank="1" showInputMessage="1" showErrorMessage="1" prompt="Ej. Manejo de algún software específico, conocimientos técnicos específicos, dominio de segunda lengua, entre otros." sqref="F7:F29" xr:uid="{00000000-0002-0000-0100-000003000000}"/>
    <dataValidation allowBlank="1" showInputMessage="1" showErrorMessage="1" prompt="Mencionar el máximo título académico ej.: Doctorado en Física." sqref="D7:D29" xr:uid="{00000000-0002-0000-0100-000004000000}"/>
    <dataValidation type="list" allowBlank="1" showInputMessage="1" showErrorMessage="1" prompt="Aplica sólo para vinculación de estudiantes a través de auxiliatura, INCLUYE vinculación Ad- Honorem, y se deberá relacionar el tipo de riesgos según las actividades a realizar, revisar tabla 1. dispuesta en esta hoja." sqref="R7:R29" xr:uid="{00000000-0002-0000-0100-000005000000}">
      <formula1>Riesgos_estudiantes</formula1>
    </dataValidation>
    <dataValidation allowBlank="1" showInputMessage="1" showErrorMessage="1" prompt="Revisar tabla 2 dispuesta en esta hoja, para calcular el valor de la hora correspondiente al año 2020, 2021 o 2022. Si es Ad-honorem colocar $0." sqref="P7:P29" xr:uid="{00000000-0002-0000-0100-000006000000}"/>
  </dataValidations>
  <pageMargins left="0.7" right="0.7" top="0.75" bottom="0.75" header="0.3" footer="0.3"/>
  <pageSetup paperSize="5" scale="3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48" yWindow="455" count="4">
        <x14:dataValidation type="list" allowBlank="1" showInputMessage="1" showErrorMessage="1" xr:uid="{00000000-0002-0000-0100-000007000000}">
          <x14:formula1>
            <xm:f>Listas!$A$42:$A$43</xm:f>
          </x14:formula1>
          <xm:sqref>J7:J29</xm:sqref>
        </x14:dataValidation>
        <x14:dataValidation type="list" allowBlank="1" showInputMessage="1" showErrorMessage="1" xr:uid="{00000000-0002-0000-0100-000008000000}">
          <x14:formula1>
            <xm:f>Listas!$A$31:$A$38</xm:f>
          </x14:formula1>
          <xm:sqref>C7:C29</xm:sqref>
        </x14:dataValidation>
        <x14:dataValidation type="list" allowBlank="1" showInputMessage="1" showErrorMessage="1" prompt="Aplica &quot;En especie&quot; para profesores planta participantes que incluye el Director y Coinvestigadores, y para los investigadores de Otras Instituciones que aportan contrapartida en especie." xr:uid="{00000000-0002-0000-0100-000009000000}">
          <x14:formula1>
            <xm:f>Listas!$A$47:$A$49</xm:f>
          </x14:formula1>
          <xm:sqref>K7:K29</xm:sqref>
        </x14:dataValidation>
        <x14:dataValidation type="list" allowBlank="1" showInputMessage="1" showErrorMessage="1" prompt="El rubro &quot;honorarios&quot; aplica para el equipo de investigación según tipo financiación en &quot;Efectivo&quot; o &quot;Especie&quot;, EXCEPTO para los estudiantes que se vinculan en modalidad de auxiliaturas. Para Ad-honorem NO seleccionar rubro." xr:uid="{00000000-0002-0000-0100-00000A000000}">
          <x14:formula1>
            <xm:f>Listas!$A$53:$A$55</xm:f>
          </x14:formula1>
          <xm:sqref>O7:O29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04"/>
  <sheetViews>
    <sheetView workbookViewId="0">
      <selection activeCell="B9" sqref="B9"/>
    </sheetView>
  </sheetViews>
  <sheetFormatPr baseColWidth="10" defaultColWidth="11.453125" defaultRowHeight="14" x14ac:dyDescent="0.35"/>
  <cols>
    <col min="1" max="1" width="4.453125" style="27" bestFit="1" customWidth="1"/>
    <col min="2" max="2" width="26" style="23" customWidth="1"/>
    <col min="3" max="3" width="46.7265625" style="1" customWidth="1"/>
    <col min="4" max="4" width="20.1796875" style="1" customWidth="1"/>
    <col min="5" max="5" width="28.453125" style="1" customWidth="1"/>
    <col min="6" max="6" width="17.26953125" style="1" customWidth="1"/>
    <col min="7" max="10" width="15.453125" style="38" customWidth="1"/>
    <col min="11" max="11" width="22" style="78" customWidth="1"/>
    <col min="12" max="12" width="13.453125" style="1" customWidth="1"/>
    <col min="13" max="13" width="12.453125" style="1" customWidth="1"/>
    <col min="14" max="14" width="14" style="1" customWidth="1"/>
    <col min="15" max="15" width="37.26953125" style="1" bestFit="1" customWidth="1"/>
    <col min="16" max="16" width="112.453125" style="1" customWidth="1"/>
    <col min="17" max="16384" width="11.453125" style="1"/>
  </cols>
  <sheetData>
    <row r="1" spans="1:13" x14ac:dyDescent="0.35">
      <c r="A1" s="464" t="s">
        <v>112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3" ht="36" customHeight="1" x14ac:dyDescent="0.35">
      <c r="A2" s="473" t="s">
        <v>52</v>
      </c>
      <c r="B2" s="473"/>
      <c r="C2" s="465">
        <f>Formulario!$D$7</f>
        <v>0</v>
      </c>
      <c r="D2" s="465"/>
      <c r="E2" s="465"/>
      <c r="F2" s="465"/>
      <c r="G2" s="465"/>
      <c r="H2" s="465"/>
      <c r="I2" s="465"/>
      <c r="J2" s="465"/>
      <c r="K2" s="465"/>
    </row>
    <row r="3" spans="1:13" x14ac:dyDescent="0.35">
      <c r="A3" s="473" t="s">
        <v>53</v>
      </c>
      <c r="B3" s="473"/>
      <c r="C3" s="466" t="str">
        <f>Formulario!$B$6</f>
        <v>NO APLICA</v>
      </c>
      <c r="D3" s="466"/>
      <c r="E3" s="466"/>
      <c r="F3" s="466"/>
      <c r="G3" s="466"/>
      <c r="H3" s="466"/>
      <c r="I3" s="466"/>
      <c r="J3" s="466"/>
      <c r="K3" s="466"/>
    </row>
    <row r="4" spans="1:13" ht="14.5" thickBot="1" x14ac:dyDescent="0.4">
      <c r="A4" s="144"/>
      <c r="B4" s="144"/>
      <c r="C4" s="170"/>
      <c r="D4" s="170"/>
      <c r="E4" s="170"/>
      <c r="F4" s="170"/>
      <c r="G4" s="170"/>
      <c r="H4" s="170"/>
      <c r="I4" s="170"/>
      <c r="J4" s="170"/>
      <c r="K4" s="170"/>
    </row>
    <row r="5" spans="1:13" ht="14.5" thickTop="1" x14ac:dyDescent="0.35">
      <c r="A5" s="393" t="s">
        <v>113</v>
      </c>
      <c r="B5" s="394"/>
      <c r="C5" s="394"/>
      <c r="D5" s="394"/>
      <c r="E5" s="394"/>
      <c r="F5" s="394"/>
      <c r="G5" s="394"/>
      <c r="H5" s="394"/>
      <c r="I5" s="394"/>
      <c r="J5" s="394"/>
      <c r="K5" s="395"/>
    </row>
    <row r="6" spans="1:13" x14ac:dyDescent="0.35">
      <c r="A6" s="409" t="s">
        <v>54</v>
      </c>
      <c r="B6" s="410" t="s">
        <v>114</v>
      </c>
      <c r="C6" s="396" t="s">
        <v>115</v>
      </c>
      <c r="D6" s="396"/>
      <c r="E6" s="396"/>
      <c r="F6" s="396" t="s">
        <v>68</v>
      </c>
      <c r="G6" s="411" t="s">
        <v>116</v>
      </c>
      <c r="H6" s="412"/>
      <c r="I6" s="412"/>
      <c r="J6" s="413"/>
      <c r="K6" s="402" t="s">
        <v>79</v>
      </c>
    </row>
    <row r="7" spans="1:13" ht="14.25" customHeight="1" x14ac:dyDescent="0.35">
      <c r="A7" s="409"/>
      <c r="B7" s="410"/>
      <c r="C7" s="397"/>
      <c r="D7" s="397"/>
      <c r="E7" s="397"/>
      <c r="F7" s="397"/>
      <c r="G7" s="405" t="s">
        <v>117</v>
      </c>
      <c r="H7" s="406"/>
      <c r="I7" s="405" t="s">
        <v>76</v>
      </c>
      <c r="J7" s="406"/>
      <c r="K7" s="403"/>
    </row>
    <row r="8" spans="1:13" ht="14.25" customHeight="1" x14ac:dyDescent="0.35">
      <c r="A8" s="409"/>
      <c r="B8" s="410"/>
      <c r="C8" s="398"/>
      <c r="D8" s="398"/>
      <c r="E8" s="398"/>
      <c r="F8" s="398"/>
      <c r="G8" s="70" t="s">
        <v>77</v>
      </c>
      <c r="H8" s="71" t="s">
        <v>78</v>
      </c>
      <c r="I8" s="71" t="s">
        <v>78</v>
      </c>
      <c r="J8" s="71" t="s">
        <v>77</v>
      </c>
      <c r="K8" s="404"/>
    </row>
    <row r="9" spans="1:13" ht="14.25" customHeight="1" x14ac:dyDescent="0.35">
      <c r="A9" s="76">
        <v>1</v>
      </c>
      <c r="B9" s="88"/>
      <c r="C9" s="399"/>
      <c r="D9" s="399"/>
      <c r="E9" s="399"/>
      <c r="F9" s="127"/>
      <c r="G9" s="91"/>
      <c r="H9" s="91"/>
      <c r="I9" s="91"/>
      <c r="J9" s="91"/>
      <c r="K9" s="160">
        <f>SUM(G9:J9)</f>
        <v>0</v>
      </c>
    </row>
    <row r="10" spans="1:13" ht="14.25" customHeight="1" x14ac:dyDescent="0.35">
      <c r="A10" s="67">
        <v>2</v>
      </c>
      <c r="B10" s="89"/>
      <c r="C10" s="400"/>
      <c r="D10" s="400"/>
      <c r="E10" s="400"/>
      <c r="F10" s="128"/>
      <c r="G10" s="92"/>
      <c r="H10" s="92"/>
      <c r="I10" s="92"/>
      <c r="J10" s="92"/>
      <c r="K10" s="160">
        <f t="shared" ref="K10:K13" si="0">SUM(G10:J10)</f>
        <v>0</v>
      </c>
    </row>
    <row r="11" spans="1:13" x14ac:dyDescent="0.35">
      <c r="A11" s="67">
        <v>3</v>
      </c>
      <c r="B11" s="89"/>
      <c r="C11" s="400"/>
      <c r="D11" s="400"/>
      <c r="E11" s="400"/>
      <c r="F11" s="128"/>
      <c r="G11" s="92"/>
      <c r="H11" s="92"/>
      <c r="I11" s="92"/>
      <c r="J11" s="92"/>
      <c r="K11" s="160">
        <f t="shared" si="0"/>
        <v>0</v>
      </c>
    </row>
    <row r="12" spans="1:13" x14ac:dyDescent="0.35">
      <c r="A12" s="67">
        <v>4</v>
      </c>
      <c r="B12" s="89"/>
      <c r="C12" s="400"/>
      <c r="D12" s="400"/>
      <c r="E12" s="400"/>
      <c r="F12" s="128"/>
      <c r="G12" s="92"/>
      <c r="H12" s="92"/>
      <c r="I12" s="92"/>
      <c r="J12" s="92"/>
      <c r="K12" s="160">
        <f t="shared" si="0"/>
        <v>0</v>
      </c>
    </row>
    <row r="13" spans="1:13" x14ac:dyDescent="0.35">
      <c r="A13" s="77">
        <v>5</v>
      </c>
      <c r="B13" s="90"/>
      <c r="C13" s="401"/>
      <c r="D13" s="401"/>
      <c r="E13" s="401"/>
      <c r="F13" s="150"/>
      <c r="G13" s="93"/>
      <c r="H13" s="93"/>
      <c r="I13" s="93"/>
      <c r="J13" s="93"/>
      <c r="K13" s="160">
        <f t="shared" si="0"/>
        <v>0</v>
      </c>
    </row>
    <row r="14" spans="1:13" ht="14.5" thickBot="1" x14ac:dyDescent="0.4">
      <c r="A14" s="407"/>
      <c r="B14" s="408"/>
      <c r="C14" s="408"/>
      <c r="D14" s="408"/>
      <c r="E14" s="111"/>
      <c r="F14" s="111" t="s">
        <v>118</v>
      </c>
      <c r="G14" s="159">
        <f>SUM(G9:G13)</f>
        <v>0</v>
      </c>
      <c r="H14" s="159">
        <f t="shared" ref="H14:K14" si="1">SUM(H9:H13)</f>
        <v>0</v>
      </c>
      <c r="I14" s="159">
        <f t="shared" si="1"/>
        <v>0</v>
      </c>
      <c r="J14" s="159">
        <f>SUM(J9:J13)</f>
        <v>0</v>
      </c>
      <c r="K14" s="159">
        <f t="shared" si="1"/>
        <v>0</v>
      </c>
    </row>
    <row r="15" spans="1:13" ht="15" thickTop="1" thickBot="1" x14ac:dyDescent="0.4">
      <c r="A15" s="23"/>
      <c r="C15" s="23"/>
      <c r="D15" s="23"/>
      <c r="E15" s="23"/>
      <c r="F15" s="23"/>
      <c r="G15" s="23"/>
      <c r="H15" s="23"/>
      <c r="I15" s="23"/>
      <c r="J15" s="145"/>
      <c r="K15" s="146"/>
    </row>
    <row r="16" spans="1:13" ht="15.75" customHeight="1" thickTop="1" x14ac:dyDescent="0.35">
      <c r="A16" s="393" t="s">
        <v>119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5"/>
      <c r="M16" s="73"/>
    </row>
    <row r="17" spans="1:11" x14ac:dyDescent="0.35">
      <c r="A17" s="409" t="s">
        <v>54</v>
      </c>
      <c r="B17" s="410" t="s">
        <v>114</v>
      </c>
      <c r="C17" s="431" t="s">
        <v>115</v>
      </c>
      <c r="D17" s="432"/>
      <c r="E17" s="396" t="s">
        <v>70</v>
      </c>
      <c r="F17" s="396" t="s">
        <v>68</v>
      </c>
      <c r="G17" s="411" t="s">
        <v>116</v>
      </c>
      <c r="H17" s="412"/>
      <c r="I17" s="412"/>
      <c r="J17" s="413"/>
      <c r="K17" s="402" t="s">
        <v>79</v>
      </c>
    </row>
    <row r="18" spans="1:11" ht="14.25" customHeight="1" x14ac:dyDescent="0.35">
      <c r="A18" s="409"/>
      <c r="B18" s="410"/>
      <c r="C18" s="433"/>
      <c r="D18" s="434"/>
      <c r="E18" s="397"/>
      <c r="F18" s="397"/>
      <c r="G18" s="405" t="s">
        <v>117</v>
      </c>
      <c r="H18" s="406"/>
      <c r="I18" s="405" t="s">
        <v>76</v>
      </c>
      <c r="J18" s="406"/>
      <c r="K18" s="403"/>
    </row>
    <row r="19" spans="1:11" ht="14.25" customHeight="1" x14ac:dyDescent="0.35">
      <c r="A19" s="409"/>
      <c r="B19" s="410"/>
      <c r="C19" s="435"/>
      <c r="D19" s="436"/>
      <c r="E19" s="398"/>
      <c r="F19" s="398"/>
      <c r="G19" s="70" t="s">
        <v>77</v>
      </c>
      <c r="H19" s="71" t="s">
        <v>78</v>
      </c>
      <c r="I19" s="71" t="s">
        <v>78</v>
      </c>
      <c r="J19" s="71" t="s">
        <v>77</v>
      </c>
      <c r="K19" s="404"/>
    </row>
    <row r="20" spans="1:11" ht="15" customHeight="1" x14ac:dyDescent="0.35">
      <c r="A20" s="76">
        <v>1</v>
      </c>
      <c r="B20" s="88"/>
      <c r="C20" s="306"/>
      <c r="D20" s="287"/>
      <c r="E20" s="151"/>
      <c r="F20" s="127"/>
      <c r="G20" s="91"/>
      <c r="H20" s="91"/>
      <c r="I20" s="91"/>
      <c r="J20" s="91"/>
      <c r="K20" s="160">
        <f>SUM(G20:J20)</f>
        <v>0</v>
      </c>
    </row>
    <row r="21" spans="1:11" ht="15" customHeight="1" x14ac:dyDescent="0.35">
      <c r="A21" s="67">
        <v>2</v>
      </c>
      <c r="B21" s="89"/>
      <c r="C21" s="296"/>
      <c r="D21" s="392"/>
      <c r="E21" s="128"/>
      <c r="F21" s="127"/>
      <c r="G21" s="92"/>
      <c r="H21" s="92"/>
      <c r="I21" s="92"/>
      <c r="J21" s="92"/>
      <c r="K21" s="160">
        <f>SUM(G21:J21)</f>
        <v>0</v>
      </c>
    </row>
    <row r="22" spans="1:11" ht="15" customHeight="1" x14ac:dyDescent="0.35">
      <c r="A22" s="67">
        <v>3</v>
      </c>
      <c r="B22" s="89"/>
      <c r="C22" s="296"/>
      <c r="D22" s="392"/>
      <c r="E22" s="128"/>
      <c r="F22" s="127"/>
      <c r="G22" s="92"/>
      <c r="H22" s="92"/>
      <c r="I22" s="92"/>
      <c r="J22" s="92"/>
      <c r="K22" s="160">
        <f t="shared" ref="K22:K23" si="2">SUM(G22:J22)</f>
        <v>0</v>
      </c>
    </row>
    <row r="23" spans="1:11" ht="15" customHeight="1" x14ac:dyDescent="0.35">
      <c r="A23" s="67">
        <v>4</v>
      </c>
      <c r="B23" s="89"/>
      <c r="C23" s="296"/>
      <c r="D23" s="392"/>
      <c r="E23" s="128"/>
      <c r="F23" s="127"/>
      <c r="G23" s="92"/>
      <c r="H23" s="92"/>
      <c r="I23" s="92"/>
      <c r="J23" s="92"/>
      <c r="K23" s="160">
        <f t="shared" si="2"/>
        <v>0</v>
      </c>
    </row>
    <row r="24" spans="1:11" ht="15" customHeight="1" x14ac:dyDescent="0.35">
      <c r="A24" s="67">
        <v>5</v>
      </c>
      <c r="B24" s="89"/>
      <c r="C24" s="296"/>
      <c r="D24" s="392"/>
      <c r="E24" s="128"/>
      <c r="F24" s="127"/>
      <c r="G24" s="92"/>
      <c r="H24" s="92"/>
      <c r="I24" s="92"/>
      <c r="J24" s="92"/>
      <c r="K24" s="160">
        <f t="shared" ref="K24:K26" si="3">SUM(G24:J24)</f>
        <v>0</v>
      </c>
    </row>
    <row r="25" spans="1:11" ht="15" customHeight="1" x14ac:dyDescent="0.35">
      <c r="A25" s="67">
        <v>6</v>
      </c>
      <c r="B25" s="89"/>
      <c r="C25" s="296"/>
      <c r="D25" s="392"/>
      <c r="E25" s="128"/>
      <c r="F25" s="127"/>
      <c r="G25" s="92"/>
      <c r="H25" s="92"/>
      <c r="I25" s="92"/>
      <c r="J25" s="92"/>
      <c r="K25" s="160">
        <f t="shared" si="3"/>
        <v>0</v>
      </c>
    </row>
    <row r="26" spans="1:11" ht="15.75" customHeight="1" x14ac:dyDescent="0.35">
      <c r="A26" s="67">
        <v>7</v>
      </c>
      <c r="B26" s="90"/>
      <c r="C26" s="273"/>
      <c r="D26" s="275"/>
      <c r="E26" s="152"/>
      <c r="F26" s="127"/>
      <c r="G26" s="93"/>
      <c r="H26" s="93"/>
      <c r="I26" s="93"/>
      <c r="J26" s="93"/>
      <c r="K26" s="160">
        <f t="shared" si="3"/>
        <v>0</v>
      </c>
    </row>
    <row r="27" spans="1:11" ht="14.5" thickBot="1" x14ac:dyDescent="0.4">
      <c r="A27" s="407"/>
      <c r="B27" s="408"/>
      <c r="C27" s="408"/>
      <c r="D27" s="408"/>
      <c r="E27" s="111"/>
      <c r="F27" s="111" t="s">
        <v>118</v>
      </c>
      <c r="G27" s="159">
        <f>SUM(G20:G26)</f>
        <v>0</v>
      </c>
      <c r="H27" s="159">
        <f>SUM(H20:H26)</f>
        <v>0</v>
      </c>
      <c r="I27" s="159">
        <f>SUM(I20:I26)</f>
        <v>0</v>
      </c>
      <c r="J27" s="159">
        <f>SUM(J20:J26)</f>
        <v>0</v>
      </c>
      <c r="K27" s="159">
        <f t="shared" ref="K27" si="4">SUM(K20:K26)</f>
        <v>0</v>
      </c>
    </row>
    <row r="28" spans="1:11" ht="15" thickTop="1" thickBot="1" x14ac:dyDescent="0.4">
      <c r="A28" s="87"/>
      <c r="B28" s="40"/>
      <c r="C28" s="40"/>
      <c r="D28" s="40"/>
      <c r="E28" s="40"/>
      <c r="F28" s="40"/>
      <c r="G28" s="82"/>
      <c r="H28" s="82"/>
      <c r="I28" s="82"/>
      <c r="J28" s="82"/>
      <c r="K28" s="82"/>
    </row>
    <row r="29" spans="1:11" ht="14.5" thickTop="1" x14ac:dyDescent="0.35">
      <c r="A29" s="467" t="s">
        <v>120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9"/>
    </row>
    <row r="30" spans="1:11" x14ac:dyDescent="0.35">
      <c r="A30" s="470" t="s">
        <v>54</v>
      </c>
      <c r="B30" s="431" t="s">
        <v>121</v>
      </c>
      <c r="C30" s="454" t="s">
        <v>115</v>
      </c>
      <c r="D30" s="454" t="s">
        <v>122</v>
      </c>
      <c r="E30" s="396" t="s">
        <v>70</v>
      </c>
      <c r="F30" s="396" t="s">
        <v>68</v>
      </c>
      <c r="G30" s="411" t="s">
        <v>116</v>
      </c>
      <c r="H30" s="412"/>
      <c r="I30" s="412"/>
      <c r="J30" s="413"/>
      <c r="K30" s="402" t="s">
        <v>79</v>
      </c>
    </row>
    <row r="31" spans="1:11" ht="14.25" customHeight="1" x14ac:dyDescent="0.35">
      <c r="A31" s="471"/>
      <c r="B31" s="433"/>
      <c r="C31" s="457"/>
      <c r="D31" s="457"/>
      <c r="E31" s="397"/>
      <c r="F31" s="397"/>
      <c r="G31" s="405" t="s">
        <v>117</v>
      </c>
      <c r="H31" s="406"/>
      <c r="I31" s="405" t="s">
        <v>76</v>
      </c>
      <c r="J31" s="406"/>
      <c r="K31" s="403"/>
    </row>
    <row r="32" spans="1:11" ht="14.25" customHeight="1" x14ac:dyDescent="0.35">
      <c r="A32" s="472"/>
      <c r="B32" s="435"/>
      <c r="C32" s="460"/>
      <c r="D32" s="460"/>
      <c r="E32" s="398"/>
      <c r="F32" s="398"/>
      <c r="G32" s="70" t="s">
        <v>77</v>
      </c>
      <c r="H32" s="71" t="s">
        <v>78</v>
      </c>
      <c r="I32" s="71" t="s">
        <v>78</v>
      </c>
      <c r="J32" s="71" t="s">
        <v>77</v>
      </c>
      <c r="K32" s="404"/>
    </row>
    <row r="33" spans="1:16" x14ac:dyDescent="0.35">
      <c r="A33" s="72">
        <v>1</v>
      </c>
      <c r="B33" s="94"/>
      <c r="C33" s="94"/>
      <c r="D33" s="95"/>
      <c r="E33" s="127"/>
      <c r="F33" s="127"/>
      <c r="G33" s="91"/>
      <c r="H33" s="91"/>
      <c r="I33" s="91"/>
      <c r="J33" s="91"/>
      <c r="K33" s="160">
        <f>SUM(G33:J33)</f>
        <v>0</v>
      </c>
      <c r="M33" s="73"/>
      <c r="O33" s="84"/>
      <c r="P33" s="8"/>
    </row>
    <row r="34" spans="1:16" x14ac:dyDescent="0.35">
      <c r="A34" s="74">
        <v>2</v>
      </c>
      <c r="B34" s="96"/>
      <c r="C34" s="96"/>
      <c r="D34" s="97"/>
      <c r="E34" s="128"/>
      <c r="F34" s="128"/>
      <c r="G34" s="92"/>
      <c r="H34" s="92"/>
      <c r="I34" s="92"/>
      <c r="J34" s="92"/>
      <c r="K34" s="160">
        <f>SUM(G34:J34)</f>
        <v>0</v>
      </c>
      <c r="O34" s="85"/>
      <c r="P34" s="8"/>
    </row>
    <row r="35" spans="1:16" x14ac:dyDescent="0.35">
      <c r="A35" s="74">
        <v>3</v>
      </c>
      <c r="B35" s="96"/>
      <c r="C35" s="96"/>
      <c r="D35" s="97"/>
      <c r="E35" s="128"/>
      <c r="F35" s="128"/>
      <c r="G35" s="92"/>
      <c r="H35" s="92"/>
      <c r="I35" s="92"/>
      <c r="J35" s="92"/>
      <c r="K35" s="160">
        <f>SUM(G35:J35)</f>
        <v>0</v>
      </c>
      <c r="O35" s="85"/>
    </row>
    <row r="36" spans="1:16" x14ac:dyDescent="0.3">
      <c r="A36" s="74">
        <v>4</v>
      </c>
      <c r="B36" s="96"/>
      <c r="C36" s="96"/>
      <c r="D36" s="97"/>
      <c r="E36" s="128"/>
      <c r="F36" s="128"/>
      <c r="G36" s="92"/>
      <c r="H36" s="92"/>
      <c r="I36" s="92"/>
      <c r="J36" s="92"/>
      <c r="K36" s="160">
        <f>SUM(G36:J36)</f>
        <v>0</v>
      </c>
      <c r="O36" s="85"/>
      <c r="P36" s="75"/>
    </row>
    <row r="37" spans="1:16" x14ac:dyDescent="0.35">
      <c r="A37" s="74">
        <v>5</v>
      </c>
      <c r="B37" s="98"/>
      <c r="C37" s="98"/>
      <c r="D37" s="99"/>
      <c r="E37" s="128"/>
      <c r="F37" s="150"/>
      <c r="G37" s="92"/>
      <c r="H37" s="92"/>
      <c r="I37" s="92"/>
      <c r="J37" s="92"/>
      <c r="K37" s="160">
        <f>SUM(G37:J37)</f>
        <v>0</v>
      </c>
    </row>
    <row r="38" spans="1:16" s="39" customFormat="1" ht="14.5" thickBot="1" x14ac:dyDescent="0.4">
      <c r="A38" s="438"/>
      <c r="B38" s="439"/>
      <c r="C38" s="439"/>
      <c r="D38" s="439"/>
      <c r="E38" s="111"/>
      <c r="F38" s="111" t="s">
        <v>118</v>
      </c>
      <c r="G38" s="159">
        <f>SUM(G33:G37)</f>
        <v>0</v>
      </c>
      <c r="H38" s="159">
        <f>SUM(H33:H37)</f>
        <v>0</v>
      </c>
      <c r="I38" s="159">
        <f>SUM(I33:I37)</f>
        <v>0</v>
      </c>
      <c r="J38" s="159">
        <f>SUM(J33:J37)</f>
        <v>0</v>
      </c>
      <c r="K38" s="161">
        <f>SUM(K33:K37)</f>
        <v>0</v>
      </c>
    </row>
    <row r="39" spans="1:16" s="29" customFormat="1" ht="15" thickTop="1" thickBot="1" x14ac:dyDescent="0.35"/>
    <row r="40" spans="1:16" ht="14.5" thickTop="1" x14ac:dyDescent="0.35">
      <c r="A40" s="420" t="s">
        <v>123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2"/>
    </row>
    <row r="41" spans="1:16" x14ac:dyDescent="0.35">
      <c r="A41" s="409" t="s">
        <v>54</v>
      </c>
      <c r="B41" s="410" t="s">
        <v>114</v>
      </c>
      <c r="C41" s="396" t="s">
        <v>115</v>
      </c>
      <c r="D41" s="396"/>
      <c r="E41" s="396"/>
      <c r="F41" s="396" t="s">
        <v>68</v>
      </c>
      <c r="G41" s="411" t="s">
        <v>116</v>
      </c>
      <c r="H41" s="412"/>
      <c r="I41" s="412"/>
      <c r="J41" s="413"/>
      <c r="K41" s="402" t="s">
        <v>79</v>
      </c>
    </row>
    <row r="42" spans="1:16" x14ac:dyDescent="0.35">
      <c r="A42" s="409"/>
      <c r="B42" s="410"/>
      <c r="C42" s="397"/>
      <c r="D42" s="397"/>
      <c r="E42" s="397"/>
      <c r="F42" s="397"/>
      <c r="G42" s="405" t="s">
        <v>117</v>
      </c>
      <c r="H42" s="406"/>
      <c r="I42" s="405" t="s">
        <v>76</v>
      </c>
      <c r="J42" s="406"/>
      <c r="K42" s="403"/>
    </row>
    <row r="43" spans="1:16" x14ac:dyDescent="0.35">
      <c r="A43" s="409"/>
      <c r="B43" s="410"/>
      <c r="C43" s="398"/>
      <c r="D43" s="398"/>
      <c r="E43" s="398"/>
      <c r="F43" s="398"/>
      <c r="G43" s="70" t="s">
        <v>77</v>
      </c>
      <c r="H43" s="71" t="s">
        <v>78</v>
      </c>
      <c r="I43" s="71" t="s">
        <v>78</v>
      </c>
      <c r="J43" s="71" t="s">
        <v>77</v>
      </c>
      <c r="K43" s="404"/>
    </row>
    <row r="44" spans="1:16" x14ac:dyDescent="0.35">
      <c r="A44" s="76">
        <v>1</v>
      </c>
      <c r="B44" s="88"/>
      <c r="C44" s="399"/>
      <c r="D44" s="399"/>
      <c r="E44" s="399"/>
      <c r="F44" s="127"/>
      <c r="G44" s="91"/>
      <c r="H44" s="91"/>
      <c r="I44" s="91"/>
      <c r="J44" s="91"/>
      <c r="K44" s="160">
        <f>SUM(G44:J44)</f>
        <v>0</v>
      </c>
    </row>
    <row r="45" spans="1:16" x14ac:dyDescent="0.35">
      <c r="A45" s="67">
        <v>2</v>
      </c>
      <c r="B45" s="89"/>
      <c r="C45" s="400"/>
      <c r="D45" s="400"/>
      <c r="E45" s="400"/>
      <c r="F45" s="128"/>
      <c r="G45" s="92"/>
      <c r="H45" s="92"/>
      <c r="I45" s="92"/>
      <c r="J45" s="92"/>
      <c r="K45" s="160">
        <f>SUM(G45:J45)</f>
        <v>0</v>
      </c>
    </row>
    <row r="46" spans="1:16" ht="15" customHeight="1" x14ac:dyDescent="0.35">
      <c r="A46" s="67">
        <v>3</v>
      </c>
      <c r="B46" s="89"/>
      <c r="C46" s="296"/>
      <c r="D46" s="297"/>
      <c r="E46" s="392"/>
      <c r="F46" s="128"/>
      <c r="G46" s="92"/>
      <c r="H46" s="92"/>
      <c r="I46" s="92"/>
      <c r="J46" s="92"/>
      <c r="K46" s="160">
        <f t="shared" ref="K46:K47" si="5">SUM(G46:J46)</f>
        <v>0</v>
      </c>
    </row>
    <row r="47" spans="1:16" x14ac:dyDescent="0.35">
      <c r="A47" s="67">
        <v>4</v>
      </c>
      <c r="B47" s="89"/>
      <c r="C47" s="296"/>
      <c r="D47" s="297"/>
      <c r="E47" s="392"/>
      <c r="F47" s="128"/>
      <c r="G47" s="92"/>
      <c r="H47" s="92"/>
      <c r="I47" s="92"/>
      <c r="J47" s="92"/>
      <c r="K47" s="160">
        <f t="shared" si="5"/>
        <v>0</v>
      </c>
    </row>
    <row r="48" spans="1:16" x14ac:dyDescent="0.35">
      <c r="A48" s="67">
        <v>5</v>
      </c>
      <c r="B48" s="89"/>
      <c r="C48" s="400"/>
      <c r="D48" s="400"/>
      <c r="E48" s="400"/>
      <c r="F48" s="128"/>
      <c r="G48" s="92"/>
      <c r="H48" s="92"/>
      <c r="I48" s="92"/>
      <c r="J48" s="92"/>
      <c r="K48" s="160">
        <f>SUM(G48:J48)</f>
        <v>0</v>
      </c>
    </row>
    <row r="49" spans="1:11" x14ac:dyDescent="0.35">
      <c r="A49" s="67">
        <v>6</v>
      </c>
      <c r="B49" s="89"/>
      <c r="C49" s="400"/>
      <c r="D49" s="400"/>
      <c r="E49" s="400"/>
      <c r="F49" s="128"/>
      <c r="G49" s="92"/>
      <c r="H49" s="92"/>
      <c r="I49" s="92"/>
      <c r="J49" s="92"/>
      <c r="K49" s="160">
        <f t="shared" ref="K49:K50" si="6">SUM(G49:J49)</f>
        <v>0</v>
      </c>
    </row>
    <row r="50" spans="1:11" x14ac:dyDescent="0.35">
      <c r="A50" s="67">
        <v>7</v>
      </c>
      <c r="B50" s="90"/>
      <c r="C50" s="401"/>
      <c r="D50" s="401"/>
      <c r="E50" s="401"/>
      <c r="F50" s="150"/>
      <c r="G50" s="93"/>
      <c r="H50" s="93"/>
      <c r="I50" s="93"/>
      <c r="J50" s="93"/>
      <c r="K50" s="160">
        <f t="shared" si="6"/>
        <v>0</v>
      </c>
    </row>
    <row r="51" spans="1:11" ht="15.75" customHeight="1" thickBot="1" x14ac:dyDescent="0.4">
      <c r="A51" s="451" t="s">
        <v>118</v>
      </c>
      <c r="B51" s="452"/>
      <c r="C51" s="452"/>
      <c r="D51" s="452"/>
      <c r="E51" s="452"/>
      <c r="F51" s="453"/>
      <c r="G51" s="159">
        <f>SUM(G44:G50)</f>
        <v>0</v>
      </c>
      <c r="H51" s="159">
        <f t="shared" ref="H51:K51" si="7">SUM(H44:H50)</f>
        <v>0</v>
      </c>
      <c r="I51" s="159">
        <f t="shared" si="7"/>
        <v>0</v>
      </c>
      <c r="J51" s="159">
        <f>SUM(J44:J50)</f>
        <v>0</v>
      </c>
      <c r="K51" s="159">
        <f t="shared" si="7"/>
        <v>0</v>
      </c>
    </row>
    <row r="52" spans="1:11" s="29" customFormat="1" ht="15" thickTop="1" thickBot="1" x14ac:dyDescent="0.35"/>
    <row r="53" spans="1:11" s="39" customFormat="1" ht="14.5" thickTop="1" x14ac:dyDescent="0.35">
      <c r="A53" s="417" t="s">
        <v>124</v>
      </c>
      <c r="B53" s="418"/>
      <c r="C53" s="418"/>
      <c r="D53" s="418"/>
      <c r="E53" s="418"/>
      <c r="F53" s="418"/>
      <c r="G53" s="418"/>
      <c r="H53" s="418"/>
      <c r="I53" s="418"/>
      <c r="J53" s="418"/>
      <c r="K53" s="419"/>
    </row>
    <row r="54" spans="1:11" ht="15" customHeight="1" x14ac:dyDescent="0.35">
      <c r="A54" s="443" t="s">
        <v>54</v>
      </c>
      <c r="B54" s="423" t="s">
        <v>114</v>
      </c>
      <c r="C54" s="424" t="s">
        <v>115</v>
      </c>
      <c r="D54" s="424"/>
      <c r="E54" s="424"/>
      <c r="F54" s="396" t="s">
        <v>68</v>
      </c>
      <c r="G54" s="414" t="s">
        <v>116</v>
      </c>
      <c r="H54" s="415"/>
      <c r="I54" s="415"/>
      <c r="J54" s="416"/>
      <c r="K54" s="427" t="s">
        <v>79</v>
      </c>
    </row>
    <row r="55" spans="1:11" x14ac:dyDescent="0.35">
      <c r="A55" s="443"/>
      <c r="B55" s="423"/>
      <c r="C55" s="425"/>
      <c r="D55" s="425"/>
      <c r="E55" s="425"/>
      <c r="F55" s="397"/>
      <c r="G55" s="405" t="s">
        <v>117</v>
      </c>
      <c r="H55" s="406"/>
      <c r="I55" s="405" t="s">
        <v>76</v>
      </c>
      <c r="J55" s="406"/>
      <c r="K55" s="428"/>
    </row>
    <row r="56" spans="1:11" x14ac:dyDescent="0.35">
      <c r="A56" s="443"/>
      <c r="B56" s="423"/>
      <c r="C56" s="426"/>
      <c r="D56" s="426"/>
      <c r="E56" s="426"/>
      <c r="F56" s="398"/>
      <c r="G56" s="70" t="s">
        <v>77</v>
      </c>
      <c r="H56" s="71" t="s">
        <v>78</v>
      </c>
      <c r="I56" s="71" t="s">
        <v>78</v>
      </c>
      <c r="J56" s="71" t="s">
        <v>77</v>
      </c>
      <c r="K56" s="429"/>
    </row>
    <row r="57" spans="1:11" x14ac:dyDescent="0.35">
      <c r="A57" s="100">
        <v>1</v>
      </c>
      <c r="B57" s="103"/>
      <c r="C57" s="463"/>
      <c r="D57" s="463"/>
      <c r="E57" s="463"/>
      <c r="F57" s="127"/>
      <c r="G57" s="106"/>
      <c r="H57" s="106"/>
      <c r="I57" s="106"/>
      <c r="J57" s="106"/>
      <c r="K57" s="163">
        <f>SUM(G57:J57)</f>
        <v>0</v>
      </c>
    </row>
    <row r="58" spans="1:11" x14ac:dyDescent="0.35">
      <c r="A58" s="101">
        <v>2</v>
      </c>
      <c r="B58" s="104"/>
      <c r="C58" s="446"/>
      <c r="D58" s="446"/>
      <c r="E58" s="446"/>
      <c r="F58" s="128"/>
      <c r="G58" s="107"/>
      <c r="H58" s="107"/>
      <c r="I58" s="107"/>
      <c r="J58" s="107"/>
      <c r="K58" s="163">
        <f t="shared" ref="K58:K61" si="8">SUM(G58:J58)</f>
        <v>0</v>
      </c>
    </row>
    <row r="59" spans="1:11" x14ac:dyDescent="0.35">
      <c r="A59" s="101">
        <v>3</v>
      </c>
      <c r="B59" s="104"/>
      <c r="C59" s="446"/>
      <c r="D59" s="446"/>
      <c r="E59" s="446"/>
      <c r="F59" s="128"/>
      <c r="G59" s="107"/>
      <c r="H59" s="107"/>
      <c r="I59" s="107"/>
      <c r="J59" s="107"/>
      <c r="K59" s="163">
        <f t="shared" si="8"/>
        <v>0</v>
      </c>
    </row>
    <row r="60" spans="1:11" x14ac:dyDescent="0.35">
      <c r="A60" s="101">
        <v>4</v>
      </c>
      <c r="B60" s="104"/>
      <c r="C60" s="446"/>
      <c r="D60" s="446"/>
      <c r="E60" s="446"/>
      <c r="F60" s="128"/>
      <c r="G60" s="107"/>
      <c r="H60" s="107"/>
      <c r="I60" s="107"/>
      <c r="J60" s="107"/>
      <c r="K60" s="163">
        <f t="shared" si="8"/>
        <v>0</v>
      </c>
    </row>
    <row r="61" spans="1:11" x14ac:dyDescent="0.35">
      <c r="A61" s="102">
        <v>5</v>
      </c>
      <c r="B61" s="105"/>
      <c r="C61" s="447"/>
      <c r="D61" s="447"/>
      <c r="E61" s="447"/>
      <c r="F61" s="150"/>
      <c r="G61" s="108"/>
      <c r="H61" s="108"/>
      <c r="I61" s="108"/>
      <c r="J61" s="108"/>
      <c r="K61" s="163">
        <f t="shared" si="8"/>
        <v>0</v>
      </c>
    </row>
    <row r="62" spans="1:11" s="39" customFormat="1" ht="15.75" customHeight="1" thickBot="1" x14ac:dyDescent="0.4">
      <c r="A62" s="448" t="s">
        <v>118</v>
      </c>
      <c r="B62" s="449"/>
      <c r="C62" s="449"/>
      <c r="D62" s="449"/>
      <c r="E62" s="449"/>
      <c r="F62" s="450"/>
      <c r="G62" s="162">
        <f>SUM(G57:G61)</f>
        <v>0</v>
      </c>
      <c r="H62" s="162">
        <f t="shared" ref="H62:K62" si="9">SUM(H57:H61)</f>
        <v>0</v>
      </c>
      <c r="I62" s="162">
        <f t="shared" si="9"/>
        <v>0</v>
      </c>
      <c r="J62" s="162">
        <f t="shared" si="9"/>
        <v>0</v>
      </c>
      <c r="K62" s="162">
        <f t="shared" si="9"/>
        <v>0</v>
      </c>
    </row>
    <row r="63" spans="1:11" s="29" customFormat="1" ht="15" thickTop="1" thickBot="1" x14ac:dyDescent="0.35"/>
    <row r="64" spans="1:11" ht="14.5" thickTop="1" x14ac:dyDescent="0.35">
      <c r="A64" s="420" t="s">
        <v>125</v>
      </c>
      <c r="B64" s="421"/>
      <c r="C64" s="421"/>
      <c r="D64" s="421"/>
      <c r="E64" s="421"/>
      <c r="F64" s="421"/>
      <c r="G64" s="421"/>
      <c r="H64" s="421"/>
      <c r="I64" s="421"/>
      <c r="J64" s="421"/>
      <c r="K64" s="422"/>
    </row>
    <row r="65" spans="1:11" x14ac:dyDescent="0.35">
      <c r="A65" s="437" t="s">
        <v>54</v>
      </c>
      <c r="B65" s="410" t="s">
        <v>114</v>
      </c>
      <c r="C65" s="454" t="s">
        <v>115</v>
      </c>
      <c r="D65" s="455"/>
      <c r="E65" s="456"/>
      <c r="F65" s="396" t="s">
        <v>68</v>
      </c>
      <c r="G65" s="411" t="s">
        <v>116</v>
      </c>
      <c r="H65" s="412"/>
      <c r="I65" s="412"/>
      <c r="J65" s="413"/>
      <c r="K65" s="402" t="s">
        <v>79</v>
      </c>
    </row>
    <row r="66" spans="1:11" x14ac:dyDescent="0.35">
      <c r="A66" s="437"/>
      <c r="B66" s="410"/>
      <c r="C66" s="457"/>
      <c r="D66" s="458"/>
      <c r="E66" s="459"/>
      <c r="F66" s="397"/>
      <c r="G66" s="405" t="s">
        <v>117</v>
      </c>
      <c r="H66" s="406"/>
      <c r="I66" s="405" t="s">
        <v>76</v>
      </c>
      <c r="J66" s="406"/>
      <c r="K66" s="403"/>
    </row>
    <row r="67" spans="1:11" x14ac:dyDescent="0.35">
      <c r="A67" s="437"/>
      <c r="B67" s="410"/>
      <c r="C67" s="460"/>
      <c r="D67" s="461"/>
      <c r="E67" s="462"/>
      <c r="F67" s="398"/>
      <c r="G67" s="70" t="s">
        <v>77</v>
      </c>
      <c r="H67" s="71" t="s">
        <v>78</v>
      </c>
      <c r="I67" s="71" t="s">
        <v>78</v>
      </c>
      <c r="J67" s="71" t="s">
        <v>77</v>
      </c>
      <c r="K67" s="404"/>
    </row>
    <row r="68" spans="1:11" x14ac:dyDescent="0.35">
      <c r="A68" s="76">
        <v>1</v>
      </c>
      <c r="B68" s="88"/>
      <c r="C68" s="399"/>
      <c r="D68" s="399"/>
      <c r="E68" s="399"/>
      <c r="F68" s="127"/>
      <c r="G68" s="91"/>
      <c r="H68" s="91"/>
      <c r="I68" s="91"/>
      <c r="J68" s="91"/>
      <c r="K68" s="160">
        <f t="shared" ref="K68:K79" si="10">SUM(G68:J68)</f>
        <v>0</v>
      </c>
    </row>
    <row r="69" spans="1:11" x14ac:dyDescent="0.35">
      <c r="A69" s="76">
        <v>2</v>
      </c>
      <c r="B69" s="89"/>
      <c r="C69" s="400"/>
      <c r="D69" s="400"/>
      <c r="E69" s="400"/>
      <c r="F69" s="127"/>
      <c r="G69" s="92"/>
      <c r="H69" s="92"/>
      <c r="I69" s="92"/>
      <c r="J69" s="92"/>
      <c r="K69" s="160">
        <f t="shared" si="10"/>
        <v>0</v>
      </c>
    </row>
    <row r="70" spans="1:11" x14ac:dyDescent="0.35">
      <c r="A70" s="76">
        <v>3</v>
      </c>
      <c r="B70" s="89"/>
      <c r="C70" s="400"/>
      <c r="D70" s="400"/>
      <c r="E70" s="400"/>
      <c r="F70" s="127"/>
      <c r="G70" s="92"/>
      <c r="H70" s="92"/>
      <c r="I70" s="92"/>
      <c r="J70" s="92"/>
      <c r="K70" s="160">
        <f t="shared" si="10"/>
        <v>0</v>
      </c>
    </row>
    <row r="71" spans="1:11" x14ac:dyDescent="0.35">
      <c r="A71" s="76">
        <v>4</v>
      </c>
      <c r="B71" s="89"/>
      <c r="C71" s="400"/>
      <c r="D71" s="400"/>
      <c r="E71" s="400"/>
      <c r="F71" s="127"/>
      <c r="G71" s="92"/>
      <c r="H71" s="92"/>
      <c r="I71" s="92"/>
      <c r="J71" s="92"/>
      <c r="K71" s="160">
        <f t="shared" ref="K71" si="11">SUM(G71:J71)</f>
        <v>0</v>
      </c>
    </row>
    <row r="72" spans="1:11" x14ac:dyDescent="0.35">
      <c r="A72" s="76">
        <v>5</v>
      </c>
      <c r="B72" s="89"/>
      <c r="C72" s="400"/>
      <c r="D72" s="400"/>
      <c r="E72" s="400"/>
      <c r="F72" s="127"/>
      <c r="G72" s="92"/>
      <c r="H72" s="92"/>
      <c r="I72" s="92"/>
      <c r="J72" s="92"/>
      <c r="K72" s="160">
        <f>SUM(G72:J72)</f>
        <v>0</v>
      </c>
    </row>
    <row r="73" spans="1:11" x14ac:dyDescent="0.35">
      <c r="A73" s="76">
        <v>6</v>
      </c>
      <c r="B73" s="89"/>
      <c r="C73" s="400"/>
      <c r="D73" s="400"/>
      <c r="E73" s="400"/>
      <c r="F73" s="127"/>
      <c r="G73" s="92"/>
      <c r="H73" s="92"/>
      <c r="I73" s="92"/>
      <c r="J73" s="92"/>
      <c r="K73" s="160">
        <f t="shared" si="10"/>
        <v>0</v>
      </c>
    </row>
    <row r="74" spans="1:11" x14ac:dyDescent="0.35">
      <c r="A74" s="76">
        <v>7</v>
      </c>
      <c r="B74" s="89"/>
      <c r="C74" s="400"/>
      <c r="D74" s="400"/>
      <c r="E74" s="400"/>
      <c r="F74" s="127"/>
      <c r="G74" s="92"/>
      <c r="H74" s="92"/>
      <c r="I74" s="92"/>
      <c r="J74" s="92"/>
      <c r="K74" s="160">
        <f t="shared" si="10"/>
        <v>0</v>
      </c>
    </row>
    <row r="75" spans="1:11" x14ac:dyDescent="0.35">
      <c r="A75" s="76">
        <v>8</v>
      </c>
      <c r="B75" s="89"/>
      <c r="C75" s="400"/>
      <c r="D75" s="400"/>
      <c r="E75" s="400"/>
      <c r="F75" s="127"/>
      <c r="G75" s="92"/>
      <c r="H75" s="92"/>
      <c r="I75" s="92"/>
      <c r="J75" s="92"/>
      <c r="K75" s="160">
        <f t="shared" si="10"/>
        <v>0</v>
      </c>
    </row>
    <row r="76" spans="1:11" x14ac:dyDescent="0.35">
      <c r="A76" s="76">
        <v>9</v>
      </c>
      <c r="B76" s="89"/>
      <c r="C76" s="400"/>
      <c r="D76" s="400"/>
      <c r="E76" s="400"/>
      <c r="F76" s="127"/>
      <c r="G76" s="92"/>
      <c r="H76" s="92"/>
      <c r="I76" s="92"/>
      <c r="J76" s="92"/>
      <c r="K76" s="160">
        <f t="shared" si="10"/>
        <v>0</v>
      </c>
    </row>
    <row r="77" spans="1:11" x14ac:dyDescent="0.35">
      <c r="A77" s="76">
        <v>10</v>
      </c>
      <c r="B77" s="89"/>
      <c r="C77" s="400"/>
      <c r="D77" s="400"/>
      <c r="E77" s="400"/>
      <c r="F77" s="127"/>
      <c r="G77" s="92"/>
      <c r="H77" s="92"/>
      <c r="I77" s="92"/>
      <c r="J77" s="92"/>
      <c r="K77" s="160">
        <f t="shared" si="10"/>
        <v>0</v>
      </c>
    </row>
    <row r="78" spans="1:11" x14ac:dyDescent="0.35">
      <c r="A78" s="76">
        <v>11</v>
      </c>
      <c r="B78" s="89"/>
      <c r="C78" s="400"/>
      <c r="D78" s="400"/>
      <c r="E78" s="400"/>
      <c r="F78" s="127"/>
      <c r="G78" s="92"/>
      <c r="H78" s="92"/>
      <c r="I78" s="92"/>
      <c r="J78" s="92"/>
      <c r="K78" s="160">
        <f t="shared" si="10"/>
        <v>0</v>
      </c>
    </row>
    <row r="79" spans="1:11" x14ac:dyDescent="0.35">
      <c r="A79" s="76">
        <v>12</v>
      </c>
      <c r="B79" s="90"/>
      <c r="C79" s="401"/>
      <c r="D79" s="401"/>
      <c r="E79" s="401"/>
      <c r="F79" s="127"/>
      <c r="G79" s="92"/>
      <c r="H79" s="92"/>
      <c r="I79" s="92"/>
      <c r="J79" s="92"/>
      <c r="K79" s="160">
        <f t="shared" si="10"/>
        <v>0</v>
      </c>
    </row>
    <row r="80" spans="1:11" s="39" customFormat="1" ht="15.75" customHeight="1" thickBot="1" x14ac:dyDescent="0.4">
      <c r="A80" s="451" t="s">
        <v>118</v>
      </c>
      <c r="B80" s="452"/>
      <c r="C80" s="452"/>
      <c r="D80" s="452"/>
      <c r="E80" s="452"/>
      <c r="F80" s="453"/>
      <c r="G80" s="159">
        <f>SUM(G68:G79)</f>
        <v>0</v>
      </c>
      <c r="H80" s="159">
        <f t="shared" ref="H80:K80" si="12">SUM(H68:H79)</f>
        <v>0</v>
      </c>
      <c r="I80" s="159">
        <f t="shared" si="12"/>
        <v>0</v>
      </c>
      <c r="J80" s="159">
        <f t="shared" si="12"/>
        <v>0</v>
      </c>
      <c r="K80" s="159">
        <f t="shared" si="12"/>
        <v>0</v>
      </c>
    </row>
    <row r="81" spans="1:13" s="29" customFormat="1" ht="15" thickTop="1" thickBot="1" x14ac:dyDescent="0.35"/>
    <row r="82" spans="1:13" ht="15" customHeight="1" thickTop="1" x14ac:dyDescent="0.35">
      <c r="A82" s="420" t="s">
        <v>126</v>
      </c>
      <c r="B82" s="421"/>
      <c r="C82" s="421"/>
      <c r="D82" s="421"/>
      <c r="E82" s="421"/>
      <c r="F82" s="421"/>
      <c r="G82" s="421"/>
      <c r="H82" s="421"/>
      <c r="I82" s="421"/>
      <c r="J82" s="421"/>
      <c r="K82" s="422"/>
    </row>
    <row r="83" spans="1:13" x14ac:dyDescent="0.35">
      <c r="A83" s="409" t="s">
        <v>54</v>
      </c>
      <c r="B83" s="396" t="s">
        <v>127</v>
      </c>
      <c r="C83" s="396" t="s">
        <v>115</v>
      </c>
      <c r="D83" s="396"/>
      <c r="E83" s="396"/>
      <c r="F83" s="396" t="s">
        <v>68</v>
      </c>
      <c r="G83" s="411" t="s">
        <v>116</v>
      </c>
      <c r="H83" s="412"/>
      <c r="I83" s="412"/>
      <c r="J83" s="413"/>
      <c r="K83" s="402" t="s">
        <v>79</v>
      </c>
    </row>
    <row r="84" spans="1:13" x14ac:dyDescent="0.35">
      <c r="A84" s="409"/>
      <c r="B84" s="397"/>
      <c r="C84" s="397"/>
      <c r="D84" s="397"/>
      <c r="E84" s="397"/>
      <c r="F84" s="397"/>
      <c r="G84" s="405" t="s">
        <v>117</v>
      </c>
      <c r="H84" s="406"/>
      <c r="I84" s="405" t="s">
        <v>76</v>
      </c>
      <c r="J84" s="406"/>
      <c r="K84" s="403"/>
    </row>
    <row r="85" spans="1:13" x14ac:dyDescent="0.35">
      <c r="A85" s="409"/>
      <c r="B85" s="398"/>
      <c r="C85" s="398"/>
      <c r="D85" s="398"/>
      <c r="E85" s="398"/>
      <c r="F85" s="398"/>
      <c r="G85" s="70" t="s">
        <v>77</v>
      </c>
      <c r="H85" s="71" t="s">
        <v>78</v>
      </c>
      <c r="I85" s="71" t="s">
        <v>78</v>
      </c>
      <c r="J85" s="71" t="s">
        <v>77</v>
      </c>
      <c r="K85" s="404"/>
    </row>
    <row r="86" spans="1:13" x14ac:dyDescent="0.35">
      <c r="A86" s="76">
        <v>1</v>
      </c>
      <c r="B86" s="88"/>
      <c r="C86" s="399"/>
      <c r="D86" s="399"/>
      <c r="E86" s="399"/>
      <c r="F86" s="127"/>
      <c r="G86" s="91"/>
      <c r="H86" s="91"/>
      <c r="I86" s="91"/>
      <c r="J86" s="91"/>
      <c r="K86" s="160">
        <f>SUM(G86:J86)</f>
        <v>0</v>
      </c>
    </row>
    <row r="87" spans="1:13" x14ac:dyDescent="0.35">
      <c r="A87" s="67">
        <v>2</v>
      </c>
      <c r="B87" s="89"/>
      <c r="C87" s="400"/>
      <c r="D87" s="400"/>
      <c r="E87" s="400"/>
      <c r="F87" s="128"/>
      <c r="G87" s="92"/>
      <c r="H87" s="92"/>
      <c r="I87" s="92"/>
      <c r="J87" s="92"/>
      <c r="K87" s="160">
        <f t="shared" ref="K87:K90" si="13">SUM(G87:J87)</f>
        <v>0</v>
      </c>
    </row>
    <row r="88" spans="1:13" x14ac:dyDescent="0.35">
      <c r="A88" s="67">
        <v>3</v>
      </c>
      <c r="B88" s="89"/>
      <c r="C88" s="400"/>
      <c r="D88" s="400"/>
      <c r="E88" s="400"/>
      <c r="F88" s="128"/>
      <c r="G88" s="92"/>
      <c r="H88" s="92"/>
      <c r="I88" s="92"/>
      <c r="J88" s="92"/>
      <c r="K88" s="160">
        <f t="shared" si="13"/>
        <v>0</v>
      </c>
    </row>
    <row r="89" spans="1:13" x14ac:dyDescent="0.35">
      <c r="A89" s="67">
        <v>4</v>
      </c>
      <c r="B89" s="89"/>
      <c r="C89" s="400"/>
      <c r="D89" s="400"/>
      <c r="E89" s="400"/>
      <c r="F89" s="128"/>
      <c r="G89" s="92"/>
      <c r="H89" s="92"/>
      <c r="I89" s="92"/>
      <c r="J89" s="92"/>
      <c r="K89" s="160">
        <f t="shared" si="13"/>
        <v>0</v>
      </c>
    </row>
    <row r="90" spans="1:13" x14ac:dyDescent="0.35">
      <c r="A90" s="77">
        <v>5</v>
      </c>
      <c r="B90" s="90"/>
      <c r="C90" s="401"/>
      <c r="D90" s="401"/>
      <c r="E90" s="401"/>
      <c r="F90" s="150"/>
      <c r="G90" s="93"/>
      <c r="H90" s="93"/>
      <c r="I90" s="93"/>
      <c r="J90" s="93"/>
      <c r="K90" s="160">
        <f t="shared" si="13"/>
        <v>0</v>
      </c>
    </row>
    <row r="91" spans="1:13" ht="14.5" thickBot="1" x14ac:dyDescent="0.4">
      <c r="A91" s="451" t="s">
        <v>118</v>
      </c>
      <c r="B91" s="452"/>
      <c r="C91" s="452"/>
      <c r="D91" s="452"/>
      <c r="E91" s="452"/>
      <c r="F91" s="453"/>
      <c r="G91" s="159">
        <f>SUM(G86:G90)</f>
        <v>0</v>
      </c>
      <c r="H91" s="159">
        <f t="shared" ref="H91:K91" si="14">SUM(H86:H90)</f>
        <v>0</v>
      </c>
      <c r="I91" s="159">
        <f t="shared" si="14"/>
        <v>0</v>
      </c>
      <c r="J91" s="159">
        <f t="shared" si="14"/>
        <v>0</v>
      </c>
      <c r="K91" s="159">
        <f t="shared" si="14"/>
        <v>0</v>
      </c>
    </row>
    <row r="92" spans="1:13" s="29" customFormat="1" ht="15" thickTop="1" thickBot="1" x14ac:dyDescent="0.35"/>
    <row r="93" spans="1:13" ht="14.5" thickTop="1" x14ac:dyDescent="0.35">
      <c r="A93" s="440" t="s">
        <v>128</v>
      </c>
      <c r="B93" s="441"/>
      <c r="C93" s="441"/>
      <c r="D93" s="441"/>
      <c r="E93" s="441"/>
      <c r="F93" s="441"/>
      <c r="G93" s="441"/>
      <c r="H93" s="441"/>
      <c r="I93" s="441"/>
      <c r="J93" s="441"/>
      <c r="K93" s="442"/>
      <c r="M93" s="73"/>
    </row>
    <row r="94" spans="1:13" x14ac:dyDescent="0.35">
      <c r="A94" s="409" t="s">
        <v>54</v>
      </c>
      <c r="B94" s="410" t="s">
        <v>114</v>
      </c>
      <c r="C94" s="396" t="s">
        <v>115</v>
      </c>
      <c r="D94" s="396"/>
      <c r="E94" s="396"/>
      <c r="F94" s="396" t="s">
        <v>68</v>
      </c>
      <c r="G94" s="411" t="s">
        <v>116</v>
      </c>
      <c r="H94" s="412"/>
      <c r="I94" s="412"/>
      <c r="J94" s="413"/>
      <c r="K94" s="402" t="s">
        <v>79</v>
      </c>
    </row>
    <row r="95" spans="1:13" x14ac:dyDescent="0.35">
      <c r="A95" s="409"/>
      <c r="B95" s="410"/>
      <c r="C95" s="397"/>
      <c r="D95" s="397"/>
      <c r="E95" s="397"/>
      <c r="F95" s="397"/>
      <c r="G95" s="405" t="s">
        <v>117</v>
      </c>
      <c r="H95" s="406"/>
      <c r="I95" s="405" t="s">
        <v>76</v>
      </c>
      <c r="J95" s="406"/>
      <c r="K95" s="403"/>
    </row>
    <row r="96" spans="1:13" x14ac:dyDescent="0.35">
      <c r="A96" s="409"/>
      <c r="B96" s="410"/>
      <c r="C96" s="398"/>
      <c r="D96" s="398"/>
      <c r="E96" s="398"/>
      <c r="F96" s="398"/>
      <c r="G96" s="70" t="s">
        <v>77</v>
      </c>
      <c r="H96" s="71" t="s">
        <v>78</v>
      </c>
      <c r="I96" s="71" t="s">
        <v>78</v>
      </c>
      <c r="J96" s="71" t="s">
        <v>77</v>
      </c>
      <c r="K96" s="404"/>
    </row>
    <row r="97" spans="1:13" x14ac:dyDescent="0.35">
      <c r="A97" s="76">
        <v>1</v>
      </c>
      <c r="B97" s="88"/>
      <c r="C97" s="399"/>
      <c r="D97" s="399"/>
      <c r="E97" s="399"/>
      <c r="F97" s="127"/>
      <c r="G97" s="91"/>
      <c r="H97" s="91"/>
      <c r="I97" s="91"/>
      <c r="J97" s="91"/>
      <c r="K97" s="160">
        <f>SUM(G97:J97)</f>
        <v>0</v>
      </c>
    </row>
    <row r="98" spans="1:13" x14ac:dyDescent="0.35">
      <c r="A98" s="67">
        <v>2</v>
      </c>
      <c r="B98" s="89"/>
      <c r="C98" s="400"/>
      <c r="D98" s="400"/>
      <c r="E98" s="400"/>
      <c r="F98" s="128"/>
      <c r="G98" s="92"/>
      <c r="H98" s="92"/>
      <c r="I98" s="92"/>
      <c r="J98" s="92"/>
      <c r="K98" s="160">
        <f>SUM(G98:J98)</f>
        <v>0</v>
      </c>
    </row>
    <row r="99" spans="1:13" x14ac:dyDescent="0.35">
      <c r="A99" s="67">
        <v>3</v>
      </c>
      <c r="B99" s="89"/>
      <c r="C99" s="400"/>
      <c r="D99" s="400"/>
      <c r="E99" s="400"/>
      <c r="F99" s="128"/>
      <c r="G99" s="92"/>
      <c r="H99" s="92"/>
      <c r="I99" s="92"/>
      <c r="J99" s="92"/>
      <c r="K99" s="160">
        <f t="shared" ref="K99:K101" si="15">SUM(G99:J99)</f>
        <v>0</v>
      </c>
    </row>
    <row r="100" spans="1:13" x14ac:dyDescent="0.35">
      <c r="A100" s="67">
        <v>4</v>
      </c>
      <c r="B100" s="89"/>
      <c r="C100" s="400"/>
      <c r="D100" s="400"/>
      <c r="E100" s="400"/>
      <c r="F100" s="128"/>
      <c r="G100" s="92"/>
      <c r="H100" s="92"/>
      <c r="I100" s="92"/>
      <c r="J100" s="92"/>
      <c r="K100" s="160">
        <f t="shared" si="15"/>
        <v>0</v>
      </c>
    </row>
    <row r="101" spans="1:13" ht="14.5" thickBot="1" x14ac:dyDescent="0.4">
      <c r="A101" s="77">
        <v>5</v>
      </c>
      <c r="B101" s="90"/>
      <c r="C101" s="401"/>
      <c r="D101" s="401"/>
      <c r="E101" s="401"/>
      <c r="F101" s="150"/>
      <c r="G101" s="93"/>
      <c r="H101" s="93"/>
      <c r="I101" s="93"/>
      <c r="J101" s="93"/>
      <c r="K101" s="160">
        <f t="shared" si="15"/>
        <v>0</v>
      </c>
    </row>
    <row r="102" spans="1:13" ht="14.5" thickBot="1" x14ac:dyDescent="0.4">
      <c r="A102" s="451" t="s">
        <v>118</v>
      </c>
      <c r="B102" s="452"/>
      <c r="C102" s="452"/>
      <c r="D102" s="452"/>
      <c r="E102" s="452"/>
      <c r="F102" s="453"/>
      <c r="G102" s="159">
        <f>SUM(G97:G101)</f>
        <v>0</v>
      </c>
      <c r="H102" s="159">
        <f t="shared" ref="H102:K102" si="16">SUM(H97:H101)</f>
        <v>0</v>
      </c>
      <c r="I102" s="159">
        <f t="shared" si="16"/>
        <v>0</v>
      </c>
      <c r="J102" s="159">
        <f t="shared" si="16"/>
        <v>0</v>
      </c>
      <c r="K102" s="159">
        <f t="shared" si="16"/>
        <v>0</v>
      </c>
      <c r="M102" s="79" t="str">
        <f>IF(([1]Formulario!B5="MODALIDAD MAYOR CUANTÍA")*AND('[1]Tablas Presupuesto Detallado'!F96&gt;0.05),"El presupuesto para el rubro de papelería no puede exceder del 5% ","")</f>
        <v/>
      </c>
    </row>
    <row r="103" spans="1:13" s="29" customFormat="1" ht="15" thickTop="1" thickBot="1" x14ac:dyDescent="0.35"/>
    <row r="104" spans="1:13" ht="15.75" customHeight="1" thickTop="1" x14ac:dyDescent="0.35">
      <c r="A104" s="393" t="s">
        <v>129</v>
      </c>
      <c r="B104" s="394"/>
      <c r="C104" s="394"/>
      <c r="D104" s="394"/>
      <c r="E104" s="394"/>
      <c r="F104" s="394"/>
      <c r="G104" s="394"/>
      <c r="H104" s="394"/>
      <c r="I104" s="394"/>
      <c r="J104" s="394"/>
      <c r="K104" s="395"/>
    </row>
    <row r="105" spans="1:13" x14ac:dyDescent="0.35">
      <c r="A105" s="409" t="s">
        <v>54</v>
      </c>
      <c r="B105" s="410" t="s">
        <v>114</v>
      </c>
      <c r="C105" s="396" t="s">
        <v>115</v>
      </c>
      <c r="D105" s="396"/>
      <c r="E105" s="396"/>
      <c r="F105" s="396" t="s">
        <v>68</v>
      </c>
      <c r="G105" s="411" t="s">
        <v>116</v>
      </c>
      <c r="H105" s="412"/>
      <c r="I105" s="412"/>
      <c r="J105" s="413"/>
      <c r="K105" s="402" t="s">
        <v>79</v>
      </c>
    </row>
    <row r="106" spans="1:13" x14ac:dyDescent="0.35">
      <c r="A106" s="409"/>
      <c r="B106" s="410"/>
      <c r="C106" s="397"/>
      <c r="D106" s="397"/>
      <c r="E106" s="397"/>
      <c r="F106" s="397"/>
      <c r="G106" s="405" t="s">
        <v>117</v>
      </c>
      <c r="H106" s="406"/>
      <c r="I106" s="405" t="s">
        <v>76</v>
      </c>
      <c r="J106" s="406"/>
      <c r="K106" s="403"/>
    </row>
    <row r="107" spans="1:13" x14ac:dyDescent="0.35">
      <c r="A107" s="409"/>
      <c r="B107" s="410"/>
      <c r="C107" s="398"/>
      <c r="D107" s="398"/>
      <c r="E107" s="398"/>
      <c r="F107" s="398"/>
      <c r="G107" s="70" t="s">
        <v>77</v>
      </c>
      <c r="H107" s="71" t="s">
        <v>78</v>
      </c>
      <c r="I107" s="71" t="s">
        <v>78</v>
      </c>
      <c r="J107" s="71" t="s">
        <v>77</v>
      </c>
      <c r="K107" s="404"/>
    </row>
    <row r="108" spans="1:13" x14ac:dyDescent="0.35">
      <c r="A108" s="76">
        <v>1</v>
      </c>
      <c r="B108" s="88"/>
      <c r="C108" s="399"/>
      <c r="D108" s="399"/>
      <c r="E108" s="399"/>
      <c r="F108" s="127"/>
      <c r="G108" s="91"/>
      <c r="H108" s="91"/>
      <c r="I108" s="91"/>
      <c r="J108" s="91"/>
      <c r="K108" s="160">
        <f>SUM(G108:J108)</f>
        <v>0</v>
      </c>
    </row>
    <row r="109" spans="1:13" x14ac:dyDescent="0.35">
      <c r="A109" s="67">
        <v>2</v>
      </c>
      <c r="B109" s="89"/>
      <c r="C109" s="400"/>
      <c r="D109" s="400"/>
      <c r="E109" s="400"/>
      <c r="F109" s="128"/>
      <c r="G109" s="92"/>
      <c r="H109" s="92"/>
      <c r="I109" s="92"/>
      <c r="J109" s="92"/>
      <c r="K109" s="160">
        <f>SUM(G109:J109)</f>
        <v>0</v>
      </c>
    </row>
    <row r="110" spans="1:13" x14ac:dyDescent="0.35">
      <c r="A110" s="67">
        <v>3</v>
      </c>
      <c r="B110" s="89"/>
      <c r="C110" s="400"/>
      <c r="D110" s="400"/>
      <c r="E110" s="400"/>
      <c r="F110" s="128"/>
      <c r="G110" s="92"/>
      <c r="H110" s="92"/>
      <c r="I110" s="92"/>
      <c r="J110" s="92"/>
      <c r="K110" s="160">
        <f>SUM(G110:J110)</f>
        <v>0</v>
      </c>
    </row>
    <row r="111" spans="1:13" x14ac:dyDescent="0.35">
      <c r="A111" s="67">
        <v>4</v>
      </c>
      <c r="B111" s="89"/>
      <c r="C111" s="400"/>
      <c r="D111" s="400"/>
      <c r="E111" s="400"/>
      <c r="F111" s="128"/>
      <c r="G111" s="92"/>
      <c r="H111" s="92"/>
      <c r="I111" s="92"/>
      <c r="J111" s="92"/>
      <c r="K111" s="160">
        <f>SUM(G111:J111)</f>
        <v>0</v>
      </c>
    </row>
    <row r="112" spans="1:13" x14ac:dyDescent="0.35">
      <c r="A112" s="77">
        <v>5</v>
      </c>
      <c r="B112" s="90"/>
      <c r="C112" s="401"/>
      <c r="D112" s="401"/>
      <c r="E112" s="401"/>
      <c r="F112" s="150"/>
      <c r="G112" s="93"/>
      <c r="H112" s="93"/>
      <c r="I112" s="93"/>
      <c r="J112" s="93"/>
      <c r="K112" s="160">
        <f>SUM(G112:J112)</f>
        <v>0</v>
      </c>
    </row>
    <row r="113" spans="1:11" ht="14.5" thickBot="1" x14ac:dyDescent="0.4">
      <c r="A113" s="451" t="s">
        <v>118</v>
      </c>
      <c r="B113" s="452"/>
      <c r="C113" s="452"/>
      <c r="D113" s="452"/>
      <c r="E113" s="452"/>
      <c r="F113" s="453"/>
      <c r="G113" s="159">
        <f>SUM(G108:G112)</f>
        <v>0</v>
      </c>
      <c r="H113" s="159">
        <f>SUM(H108:H112)</f>
        <v>0</v>
      </c>
      <c r="I113" s="159">
        <f>SUM(I108:I112)</f>
        <v>0</v>
      </c>
      <c r="J113" s="159">
        <f>SUM(J108:J112)</f>
        <v>0</v>
      </c>
      <c r="K113" s="161">
        <f>SUM(K108:K112)</f>
        <v>0</v>
      </c>
    </row>
    <row r="114" spans="1:11" ht="15" thickTop="1" thickBot="1" x14ac:dyDescent="0.4"/>
    <row r="115" spans="1:11" ht="14.5" thickTop="1" x14ac:dyDescent="0.35">
      <c r="A115" s="420" t="s">
        <v>130</v>
      </c>
      <c r="B115" s="421"/>
      <c r="C115" s="421"/>
      <c r="D115" s="421"/>
      <c r="E115" s="421"/>
      <c r="F115" s="421"/>
      <c r="G115" s="421"/>
      <c r="H115" s="421"/>
      <c r="I115" s="421"/>
      <c r="J115" s="421"/>
      <c r="K115" s="422"/>
    </row>
    <row r="116" spans="1:11" x14ac:dyDescent="0.35">
      <c r="A116" s="437" t="s">
        <v>54</v>
      </c>
      <c r="B116" s="431" t="s">
        <v>114</v>
      </c>
      <c r="C116" s="431" t="s">
        <v>115</v>
      </c>
      <c r="D116" s="432"/>
      <c r="E116" s="474" t="s">
        <v>70</v>
      </c>
      <c r="F116" s="396" t="s">
        <v>68</v>
      </c>
      <c r="G116" s="411" t="s">
        <v>116</v>
      </c>
      <c r="H116" s="412"/>
      <c r="I116" s="412"/>
      <c r="J116" s="413"/>
      <c r="K116" s="402" t="s">
        <v>79</v>
      </c>
    </row>
    <row r="117" spans="1:11" ht="14.25" customHeight="1" x14ac:dyDescent="0.35">
      <c r="A117" s="437"/>
      <c r="B117" s="433"/>
      <c r="C117" s="433"/>
      <c r="D117" s="434"/>
      <c r="E117" s="430"/>
      <c r="F117" s="397"/>
      <c r="G117" s="405" t="s">
        <v>117</v>
      </c>
      <c r="H117" s="406"/>
      <c r="I117" s="405" t="s">
        <v>76</v>
      </c>
      <c r="J117" s="406"/>
      <c r="K117" s="403"/>
    </row>
    <row r="118" spans="1:11" ht="14.25" customHeight="1" x14ac:dyDescent="0.35">
      <c r="A118" s="437"/>
      <c r="B118" s="435"/>
      <c r="C118" s="435"/>
      <c r="D118" s="436"/>
      <c r="E118" s="475"/>
      <c r="F118" s="398"/>
      <c r="G118" s="70" t="s">
        <v>77</v>
      </c>
      <c r="H118" s="71" t="s">
        <v>78</v>
      </c>
      <c r="I118" s="71" t="s">
        <v>78</v>
      </c>
      <c r="J118" s="71" t="s">
        <v>77</v>
      </c>
      <c r="K118" s="404"/>
    </row>
    <row r="119" spans="1:11" ht="15" customHeight="1" x14ac:dyDescent="0.35">
      <c r="A119" s="169">
        <v>1</v>
      </c>
      <c r="B119" s="175"/>
      <c r="C119" s="476"/>
      <c r="D119" s="477"/>
      <c r="E119" s="178"/>
      <c r="F119" s="177"/>
      <c r="G119" s="109"/>
      <c r="H119" s="106"/>
      <c r="I119" s="106"/>
      <c r="J119" s="110"/>
      <c r="K119" s="160">
        <f>SUM(G119:J119)</f>
        <v>0</v>
      </c>
    </row>
    <row r="120" spans="1:11" ht="15" customHeight="1" x14ac:dyDescent="0.35">
      <c r="A120" s="102">
        <v>2</v>
      </c>
      <c r="B120" s="176"/>
      <c r="C120" s="444"/>
      <c r="D120" s="445"/>
      <c r="E120" s="179"/>
      <c r="F120" s="177"/>
      <c r="G120" s="109"/>
      <c r="H120" s="107"/>
      <c r="I120" s="107"/>
      <c r="J120" s="110"/>
      <c r="K120" s="160">
        <f t="shared" ref="K120:K132" si="17">SUM(G120:J120)</f>
        <v>0</v>
      </c>
    </row>
    <row r="121" spans="1:11" ht="15" customHeight="1" x14ac:dyDescent="0.35">
      <c r="A121" s="102">
        <v>3</v>
      </c>
      <c r="B121" s="176"/>
      <c r="C121" s="444"/>
      <c r="D121" s="445"/>
      <c r="E121" s="179"/>
      <c r="F121" s="177"/>
      <c r="G121" s="109"/>
      <c r="H121" s="107"/>
      <c r="I121" s="107"/>
      <c r="J121" s="110"/>
      <c r="K121" s="160">
        <f t="shared" si="17"/>
        <v>0</v>
      </c>
    </row>
    <row r="122" spans="1:11" ht="15" customHeight="1" x14ac:dyDescent="0.35">
      <c r="A122" s="102">
        <v>4</v>
      </c>
      <c r="B122" s="176"/>
      <c r="C122" s="444"/>
      <c r="D122" s="445"/>
      <c r="E122" s="179"/>
      <c r="F122" s="177"/>
      <c r="G122" s="109"/>
      <c r="H122" s="107"/>
      <c r="I122" s="107"/>
      <c r="J122" s="110"/>
      <c r="K122" s="160">
        <f t="shared" si="17"/>
        <v>0</v>
      </c>
    </row>
    <row r="123" spans="1:11" ht="15" customHeight="1" x14ac:dyDescent="0.35">
      <c r="A123" s="102">
        <v>5</v>
      </c>
      <c r="B123" s="176"/>
      <c r="C123" s="444"/>
      <c r="D123" s="445"/>
      <c r="E123" s="179"/>
      <c r="F123" s="177"/>
      <c r="G123" s="109"/>
      <c r="H123" s="107"/>
      <c r="I123" s="107"/>
      <c r="J123" s="110"/>
      <c r="K123" s="160">
        <f t="shared" si="17"/>
        <v>0</v>
      </c>
    </row>
    <row r="124" spans="1:11" ht="15" customHeight="1" x14ac:dyDescent="0.35">
      <c r="A124" s="102">
        <v>6</v>
      </c>
      <c r="B124" s="176"/>
      <c r="C124" s="444"/>
      <c r="D124" s="445"/>
      <c r="E124" s="179"/>
      <c r="F124" s="177"/>
      <c r="G124" s="109"/>
      <c r="H124" s="107"/>
      <c r="I124" s="107"/>
      <c r="J124" s="110"/>
      <c r="K124" s="160">
        <f t="shared" si="17"/>
        <v>0</v>
      </c>
    </row>
    <row r="125" spans="1:11" ht="15" customHeight="1" x14ac:dyDescent="0.35">
      <c r="A125" s="102">
        <v>7</v>
      </c>
      <c r="B125" s="176"/>
      <c r="C125" s="444"/>
      <c r="D125" s="445"/>
      <c r="E125" s="179"/>
      <c r="F125" s="177"/>
      <c r="G125" s="109"/>
      <c r="H125" s="107"/>
      <c r="I125" s="107"/>
      <c r="J125" s="110"/>
      <c r="K125" s="160">
        <f t="shared" si="17"/>
        <v>0</v>
      </c>
    </row>
    <row r="126" spans="1:11" ht="15" customHeight="1" x14ac:dyDescent="0.35">
      <c r="A126" s="102">
        <v>8</v>
      </c>
      <c r="B126" s="176"/>
      <c r="C126" s="444"/>
      <c r="D126" s="445"/>
      <c r="E126" s="179"/>
      <c r="F126" s="177"/>
      <c r="G126" s="109"/>
      <c r="H126" s="107"/>
      <c r="I126" s="107"/>
      <c r="J126" s="110"/>
      <c r="K126" s="160">
        <f t="shared" si="17"/>
        <v>0</v>
      </c>
    </row>
    <row r="127" spans="1:11" ht="15" customHeight="1" x14ac:dyDescent="0.35">
      <c r="A127" s="102">
        <v>9</v>
      </c>
      <c r="B127" s="176"/>
      <c r="C127" s="444"/>
      <c r="D127" s="445"/>
      <c r="E127" s="179"/>
      <c r="F127" s="177"/>
      <c r="G127" s="109"/>
      <c r="H127" s="107"/>
      <c r="I127" s="107"/>
      <c r="J127" s="110"/>
      <c r="K127" s="160">
        <f t="shared" si="17"/>
        <v>0</v>
      </c>
    </row>
    <row r="128" spans="1:11" ht="15" customHeight="1" x14ac:dyDescent="0.35">
      <c r="A128" s="102">
        <v>10</v>
      </c>
      <c r="B128" s="176"/>
      <c r="C128" s="444"/>
      <c r="D128" s="445"/>
      <c r="E128" s="179"/>
      <c r="F128" s="177"/>
      <c r="G128" s="109"/>
      <c r="H128" s="107"/>
      <c r="I128" s="107"/>
      <c r="J128" s="110"/>
      <c r="K128" s="160">
        <f>SUM(G128:J128)</f>
        <v>0</v>
      </c>
    </row>
    <row r="129" spans="1:11" ht="15" customHeight="1" x14ac:dyDescent="0.35">
      <c r="A129" s="102">
        <v>11</v>
      </c>
      <c r="B129" s="176"/>
      <c r="C129" s="444"/>
      <c r="D129" s="445"/>
      <c r="E129" s="179"/>
      <c r="F129" s="177"/>
      <c r="G129" s="109"/>
      <c r="H129" s="107"/>
      <c r="I129" s="107"/>
      <c r="J129" s="110"/>
      <c r="K129" s="160">
        <f t="shared" si="17"/>
        <v>0</v>
      </c>
    </row>
    <row r="130" spans="1:11" ht="15" customHeight="1" x14ac:dyDescent="0.35">
      <c r="A130" s="102">
        <v>12</v>
      </c>
      <c r="B130" s="176"/>
      <c r="C130" s="444"/>
      <c r="D130" s="445"/>
      <c r="E130" s="179"/>
      <c r="F130" s="177"/>
      <c r="G130" s="109"/>
      <c r="H130" s="107"/>
      <c r="I130" s="107"/>
      <c r="J130" s="110"/>
      <c r="K130" s="160">
        <f t="shared" si="17"/>
        <v>0</v>
      </c>
    </row>
    <row r="131" spans="1:11" ht="15" customHeight="1" x14ac:dyDescent="0.35">
      <c r="A131" s="102">
        <v>13</v>
      </c>
      <c r="B131" s="176"/>
      <c r="C131" s="444"/>
      <c r="D131" s="445"/>
      <c r="E131" s="179"/>
      <c r="F131" s="177"/>
      <c r="G131" s="109"/>
      <c r="H131" s="107"/>
      <c r="I131" s="107"/>
      <c r="J131" s="110"/>
      <c r="K131" s="160">
        <f t="shared" si="17"/>
        <v>0</v>
      </c>
    </row>
    <row r="132" spans="1:11" ht="15" customHeight="1" x14ac:dyDescent="0.35">
      <c r="A132" s="102">
        <v>14</v>
      </c>
      <c r="B132" s="176"/>
      <c r="C132" s="444"/>
      <c r="D132" s="445"/>
      <c r="E132" s="179"/>
      <c r="F132" s="177"/>
      <c r="G132" s="109"/>
      <c r="H132" s="107"/>
      <c r="I132" s="107"/>
      <c r="J132" s="110"/>
      <c r="K132" s="160">
        <f t="shared" si="17"/>
        <v>0</v>
      </c>
    </row>
    <row r="133" spans="1:11" ht="15" customHeight="1" x14ac:dyDescent="0.35">
      <c r="A133" s="102">
        <v>15</v>
      </c>
      <c r="B133" s="176"/>
      <c r="C133" s="444"/>
      <c r="D133" s="445"/>
      <c r="E133" s="179"/>
      <c r="F133" s="177"/>
      <c r="G133" s="109"/>
      <c r="H133" s="107"/>
      <c r="I133" s="107"/>
      <c r="J133" s="110"/>
      <c r="K133" s="160">
        <f>SUM(G133:J133)</f>
        <v>0</v>
      </c>
    </row>
    <row r="134" spans="1:11" ht="15" customHeight="1" x14ac:dyDescent="0.35">
      <c r="A134" s="102">
        <v>16</v>
      </c>
      <c r="B134" s="176"/>
      <c r="C134" s="444"/>
      <c r="D134" s="445"/>
      <c r="E134" s="179"/>
      <c r="F134" s="177"/>
      <c r="G134" s="109"/>
      <c r="H134" s="107"/>
      <c r="I134" s="107"/>
      <c r="J134" s="110"/>
      <c r="K134" s="160">
        <f>SUM(G134:J134)</f>
        <v>0</v>
      </c>
    </row>
    <row r="135" spans="1:11" ht="15.75" customHeight="1" thickBot="1" x14ac:dyDescent="0.4">
      <c r="A135" s="448" t="s">
        <v>118</v>
      </c>
      <c r="B135" s="449"/>
      <c r="C135" s="449"/>
      <c r="D135" s="449"/>
      <c r="E135" s="449"/>
      <c r="F135" s="450"/>
      <c r="G135" s="162">
        <f>SUM(G119:G134)</f>
        <v>0</v>
      </c>
      <c r="H135" s="162">
        <f>SUM(H119:H134)</f>
        <v>0</v>
      </c>
      <c r="I135" s="162">
        <f>SUM(I119:I134)</f>
        <v>0</v>
      </c>
      <c r="J135" s="162">
        <f>SUM(J119:J134)</f>
        <v>0</v>
      </c>
      <c r="K135" s="161">
        <f>SUM(K119:K134)</f>
        <v>0</v>
      </c>
    </row>
    <row r="136" spans="1:11" ht="14.5" thickTop="1" x14ac:dyDescent="0.35"/>
    <row r="138" spans="1:11" ht="15" customHeight="1" x14ac:dyDescent="0.35">
      <c r="A138" s="1"/>
      <c r="B138" s="86"/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15" customHeight="1" x14ac:dyDescent="0.3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ht="15" customHeight="1" x14ac:dyDescent="0.3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15" customHeight="1" x14ac:dyDescent="0.3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15" customHeight="1" x14ac:dyDescent="0.3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15" customHeight="1" x14ac:dyDescent="0.3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ht="15.75" customHeight="1" x14ac:dyDescent="0.35">
      <c r="A144" s="8"/>
      <c r="B144" s="8"/>
      <c r="C144" s="8"/>
      <c r="D144" s="8"/>
      <c r="E144" s="8"/>
      <c r="F144" s="8"/>
      <c r="G144" s="8"/>
      <c r="H144" s="8"/>
      <c r="I144" s="8"/>
      <c r="J144" s="80"/>
      <c r="K144" s="81"/>
    </row>
    <row r="145" spans="1:11" x14ac:dyDescent="0.35">
      <c r="A145" s="23"/>
      <c r="C145" s="23"/>
      <c r="D145" s="23"/>
      <c r="E145" s="23"/>
      <c r="F145" s="23"/>
      <c r="G145" s="23"/>
      <c r="H145" s="23"/>
      <c r="I145" s="23"/>
      <c r="J145" s="80"/>
      <c r="K145" s="81"/>
    </row>
    <row r="156" spans="1:11" x14ac:dyDescent="0.35">
      <c r="A156" s="1"/>
      <c r="B156" s="1"/>
      <c r="G156" s="1"/>
      <c r="H156" s="80"/>
      <c r="I156" s="80"/>
      <c r="J156" s="80"/>
      <c r="K156" s="81"/>
    </row>
    <row r="203" spans="1:11" x14ac:dyDescent="0.35">
      <c r="A203" s="40"/>
      <c r="B203" s="40"/>
      <c r="C203" s="430"/>
      <c r="D203" s="430"/>
      <c r="E203" s="430"/>
      <c r="F203" s="40"/>
      <c r="G203" s="82"/>
      <c r="H203" s="82"/>
      <c r="I203" s="82"/>
      <c r="J203" s="82"/>
      <c r="K203" s="83"/>
    </row>
    <row r="204" spans="1:11" x14ac:dyDescent="0.35">
      <c r="A204" s="40"/>
      <c r="B204" s="40"/>
      <c r="C204" s="430"/>
      <c r="D204" s="430"/>
      <c r="E204" s="430"/>
      <c r="F204" s="40"/>
      <c r="G204" s="82"/>
      <c r="H204" s="82"/>
      <c r="I204" s="82"/>
      <c r="J204" s="82"/>
      <c r="K204" s="83"/>
    </row>
  </sheetData>
  <dataConsolidate/>
  <mergeCells count="178">
    <mergeCell ref="C123:D123"/>
    <mergeCell ref="C124:D124"/>
    <mergeCell ref="C125:D125"/>
    <mergeCell ref="K94:K96"/>
    <mergeCell ref="G95:H95"/>
    <mergeCell ref="C75:E75"/>
    <mergeCell ref="C133:D133"/>
    <mergeCell ref="C134:D134"/>
    <mergeCell ref="C126:D126"/>
    <mergeCell ref="C127:D127"/>
    <mergeCell ref="C128:D128"/>
    <mergeCell ref="C129:D129"/>
    <mergeCell ref="C130:D130"/>
    <mergeCell ref="G105:J105"/>
    <mergeCell ref="E116:E118"/>
    <mergeCell ref="C119:D119"/>
    <mergeCell ref="C120:D120"/>
    <mergeCell ref="C121:D121"/>
    <mergeCell ref="C131:D131"/>
    <mergeCell ref="C132:D132"/>
    <mergeCell ref="I95:J95"/>
    <mergeCell ref="G83:J83"/>
    <mergeCell ref="K83:K85"/>
    <mergeCell ref="C90:E90"/>
    <mergeCell ref="A64:K64"/>
    <mergeCell ref="A65:A67"/>
    <mergeCell ref="C83:E85"/>
    <mergeCell ref="C73:E73"/>
    <mergeCell ref="C74:E74"/>
    <mergeCell ref="B116:B118"/>
    <mergeCell ref="C116:D118"/>
    <mergeCell ref="A83:A85"/>
    <mergeCell ref="I106:J106"/>
    <mergeCell ref="C108:E108"/>
    <mergeCell ref="C109:E109"/>
    <mergeCell ref="C110:E110"/>
    <mergeCell ref="C111:E111"/>
    <mergeCell ref="A104:K104"/>
    <mergeCell ref="A105:A107"/>
    <mergeCell ref="G84:H84"/>
    <mergeCell ref="I84:J84"/>
    <mergeCell ref="G106:H106"/>
    <mergeCell ref="C97:E97"/>
    <mergeCell ref="K105:K107"/>
    <mergeCell ref="C98:E98"/>
    <mergeCell ref="C99:E99"/>
    <mergeCell ref="C100:E100"/>
    <mergeCell ref="C101:E101"/>
    <mergeCell ref="A1:K1"/>
    <mergeCell ref="C2:K2"/>
    <mergeCell ref="C3:K3"/>
    <mergeCell ref="A29:K29"/>
    <mergeCell ref="A30:A32"/>
    <mergeCell ref="B30:B32"/>
    <mergeCell ref="C30:C32"/>
    <mergeCell ref="D30:D32"/>
    <mergeCell ref="E30:E32"/>
    <mergeCell ref="G30:J30"/>
    <mergeCell ref="A16:K16"/>
    <mergeCell ref="A17:A19"/>
    <mergeCell ref="B17:B19"/>
    <mergeCell ref="G17:J17"/>
    <mergeCell ref="K17:K19"/>
    <mergeCell ref="G18:H18"/>
    <mergeCell ref="I18:J18"/>
    <mergeCell ref="A2:B2"/>
    <mergeCell ref="A3:B3"/>
    <mergeCell ref="F17:F19"/>
    <mergeCell ref="F30:F32"/>
    <mergeCell ref="K30:K32"/>
    <mergeCell ref="G31:H31"/>
    <mergeCell ref="I31:J31"/>
    <mergeCell ref="C70:E70"/>
    <mergeCell ref="C65:E67"/>
    <mergeCell ref="C44:E44"/>
    <mergeCell ref="G65:J65"/>
    <mergeCell ref="C78:E78"/>
    <mergeCell ref="C79:E79"/>
    <mergeCell ref="C86:E86"/>
    <mergeCell ref="C87:E87"/>
    <mergeCell ref="C45:E45"/>
    <mergeCell ref="C48:E48"/>
    <mergeCell ref="C49:E49"/>
    <mergeCell ref="C50:E50"/>
    <mergeCell ref="C57:E57"/>
    <mergeCell ref="C58:E58"/>
    <mergeCell ref="C59:E59"/>
    <mergeCell ref="F54:F56"/>
    <mergeCell ref="F65:F67"/>
    <mergeCell ref="F83:F85"/>
    <mergeCell ref="G55:H55"/>
    <mergeCell ref="I55:J55"/>
    <mergeCell ref="C76:E76"/>
    <mergeCell ref="C77:E77"/>
    <mergeCell ref="C68:E68"/>
    <mergeCell ref="C71:E71"/>
    <mergeCell ref="C122:D122"/>
    <mergeCell ref="C60:E60"/>
    <mergeCell ref="C61:E61"/>
    <mergeCell ref="B105:B107"/>
    <mergeCell ref="C105:E107"/>
    <mergeCell ref="C203:E203"/>
    <mergeCell ref="A41:A43"/>
    <mergeCell ref="B41:B43"/>
    <mergeCell ref="C41:E43"/>
    <mergeCell ref="B65:B67"/>
    <mergeCell ref="A135:F135"/>
    <mergeCell ref="F94:F96"/>
    <mergeCell ref="F105:F107"/>
    <mergeCell ref="F116:F118"/>
    <mergeCell ref="A51:F51"/>
    <mergeCell ref="A62:F62"/>
    <mergeCell ref="A80:F80"/>
    <mergeCell ref="A91:F91"/>
    <mergeCell ref="A102:F102"/>
    <mergeCell ref="A113:F113"/>
    <mergeCell ref="C112:E112"/>
    <mergeCell ref="A82:K82"/>
    <mergeCell ref="G41:J41"/>
    <mergeCell ref="K41:K43"/>
    <mergeCell ref="C204:E204"/>
    <mergeCell ref="C17:D19"/>
    <mergeCell ref="E17:E19"/>
    <mergeCell ref="C20:D20"/>
    <mergeCell ref="C21:D21"/>
    <mergeCell ref="C24:D24"/>
    <mergeCell ref="C25:D25"/>
    <mergeCell ref="C26:D26"/>
    <mergeCell ref="A115:K115"/>
    <mergeCell ref="A116:A118"/>
    <mergeCell ref="G116:J116"/>
    <mergeCell ref="K116:K118"/>
    <mergeCell ref="G117:H117"/>
    <mergeCell ref="I117:J117"/>
    <mergeCell ref="A38:D38"/>
    <mergeCell ref="A93:K93"/>
    <mergeCell ref="A94:A96"/>
    <mergeCell ref="B94:B96"/>
    <mergeCell ref="C94:E96"/>
    <mergeCell ref="G94:J94"/>
    <mergeCell ref="C88:E88"/>
    <mergeCell ref="C89:E89"/>
    <mergeCell ref="B83:B85"/>
    <mergeCell ref="A54:A56"/>
    <mergeCell ref="C72:E72"/>
    <mergeCell ref="K6:K8"/>
    <mergeCell ref="G7:H7"/>
    <mergeCell ref="I7:J7"/>
    <mergeCell ref="A14:D14"/>
    <mergeCell ref="A6:A8"/>
    <mergeCell ref="B6:B8"/>
    <mergeCell ref="F6:F8"/>
    <mergeCell ref="G6:J6"/>
    <mergeCell ref="I66:J66"/>
    <mergeCell ref="G54:J54"/>
    <mergeCell ref="A27:D27"/>
    <mergeCell ref="A53:K53"/>
    <mergeCell ref="K65:K67"/>
    <mergeCell ref="G66:H66"/>
    <mergeCell ref="A40:K40"/>
    <mergeCell ref="B54:B56"/>
    <mergeCell ref="C54:E56"/>
    <mergeCell ref="G42:H42"/>
    <mergeCell ref="I42:J42"/>
    <mergeCell ref="F41:F43"/>
    <mergeCell ref="K54:K56"/>
    <mergeCell ref="C69:E69"/>
    <mergeCell ref="C22:D22"/>
    <mergeCell ref="C23:D23"/>
    <mergeCell ref="C46:E46"/>
    <mergeCell ref="C47:E47"/>
    <mergeCell ref="A5:K5"/>
    <mergeCell ref="C6:E8"/>
    <mergeCell ref="C9:E9"/>
    <mergeCell ref="C10:E10"/>
    <mergeCell ref="C11:E11"/>
    <mergeCell ref="C12:E12"/>
    <mergeCell ref="C13:E13"/>
  </mergeCells>
  <conditionalFormatting sqref="A27:D28">
    <cfRule type="containsText" dxfId="9" priority="4" stopIfTrue="1" operator="containsText" text="no">
      <formula>NOT(ISERROR(SEARCH("no",A27)))</formula>
    </cfRule>
  </conditionalFormatting>
  <conditionalFormatting sqref="A38:D38">
    <cfRule type="containsText" dxfId="8" priority="2" operator="containsText" text="suma">
      <formula>NOT(ISERROR(SEARCH("suma",A38)))</formula>
    </cfRule>
  </conditionalFormatting>
  <conditionalFormatting sqref="A14:D14">
    <cfRule type="containsText" dxfId="7" priority="1" stopIfTrue="1" operator="containsText" text="no">
      <formula>NOT(ISERROR(SEARCH("no",A14)))</formula>
    </cfRule>
  </conditionalFormatting>
  <dataValidations xWindow="887" yWindow="882" count="3">
    <dataValidation type="list" allowBlank="1" showInputMessage="1" showErrorMessage="1" sqref="F68:F79 F33:F37 F44:F50 F57:F61 F9:F13 F86:F90 F97:F101 F108:F112 F20:F26" xr:uid="{00000000-0002-0000-0200-000000000000}">
      <formula1>año</formula1>
    </dataValidation>
    <dataValidation type="list" allowBlank="1" showInputMessage="1" showErrorMessage="1" prompt="Se deberá diligenciar fila por cada año según la ejecución de la propuesta, y de acuerdo a los términos de referencia de la convocatoria." sqref="F119:F134" xr:uid="{00000000-0002-0000-0200-000001000000}">
      <formula1>año</formula1>
    </dataValidation>
    <dataValidation type="list" allowBlank="1" showInputMessage="1" showErrorMessage="1" sqref="E119:E134" xr:uid="{00000000-0002-0000-0200-000002000000}">
      <formula1>listaotrosrubros</formula1>
    </dataValidation>
  </dataValidations>
  <pageMargins left="0.7" right="0.7" top="0.75" bottom="0.75" header="0.3" footer="0.3"/>
  <pageSetup paperSize="9" scale="5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887" yWindow="882" count="2">
        <x14:dataValidation type="list" allowBlank="1" showInputMessage="1" showErrorMessage="1" xr:uid="{00000000-0002-0000-0200-000003000000}">
          <x14:formula1>
            <xm:f>Listas!$A$58:$A$60</xm:f>
          </x14:formula1>
          <xm:sqref>E20:E26</xm:sqref>
        </x14:dataValidation>
        <x14:dataValidation type="list" allowBlank="1" showInputMessage="1" showErrorMessage="1" xr:uid="{00000000-0002-0000-0200-000004000000}">
          <x14:formula1>
            <xm:f>Listas!$A$63:$A$64</xm:f>
          </x14:formula1>
          <xm:sqref>E33:E37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3"/>
  <sheetViews>
    <sheetView zoomScaleNormal="100" workbookViewId="0">
      <selection sqref="A1:K1"/>
    </sheetView>
  </sheetViews>
  <sheetFormatPr baseColWidth="10" defaultColWidth="11.453125" defaultRowHeight="14" x14ac:dyDescent="0.35"/>
  <cols>
    <col min="1" max="1" width="5.26953125" style="7" bestFit="1" customWidth="1"/>
    <col min="2" max="2" width="37.7265625" style="1" customWidth="1"/>
    <col min="3" max="14" width="18.26953125" style="1" customWidth="1"/>
    <col min="15" max="15" width="24.453125" style="1" customWidth="1"/>
    <col min="16" max="16" width="11.453125" style="1"/>
    <col min="17" max="17" width="14.1796875" style="1" customWidth="1"/>
    <col min="18" max="16384" width="11.453125" style="1"/>
  </cols>
  <sheetData>
    <row r="1" spans="1:15" ht="15.5" x14ac:dyDescent="0.35">
      <c r="A1" s="493" t="s">
        <v>131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219"/>
      <c r="M1" s="219"/>
      <c r="N1" s="219"/>
      <c r="O1" s="219"/>
    </row>
    <row r="2" spans="1:15" ht="54.75" customHeight="1" x14ac:dyDescent="0.35">
      <c r="A2" s="39"/>
      <c r="B2" s="144" t="s">
        <v>52</v>
      </c>
      <c r="C2" s="465">
        <f>Formulario!$D$7</f>
        <v>0</v>
      </c>
      <c r="D2" s="465"/>
      <c r="E2" s="465"/>
      <c r="F2" s="465"/>
      <c r="G2" s="465"/>
      <c r="H2" s="465"/>
      <c r="I2" s="465"/>
      <c r="J2" s="465"/>
      <c r="K2" s="465"/>
      <c r="L2" s="8"/>
      <c r="M2" s="8"/>
      <c r="N2" s="8"/>
      <c r="O2" s="8"/>
    </row>
    <row r="3" spans="1:15" ht="21.75" customHeight="1" thickBot="1" x14ac:dyDescent="0.4">
      <c r="A3" s="39"/>
      <c r="B3" s="144" t="s">
        <v>53</v>
      </c>
      <c r="C3" s="492" t="str">
        <f>Formulario!$B$6</f>
        <v>NO APLICA</v>
      </c>
      <c r="D3" s="492"/>
      <c r="E3" s="492"/>
      <c r="F3" s="492"/>
      <c r="G3" s="492"/>
      <c r="H3" s="492"/>
      <c r="I3" s="492"/>
      <c r="J3" s="492"/>
      <c r="K3" s="492"/>
    </row>
    <row r="4" spans="1:15" ht="30" customHeight="1" x14ac:dyDescent="0.35">
      <c r="A4" s="496" t="s">
        <v>95</v>
      </c>
      <c r="B4" s="498" t="s">
        <v>132</v>
      </c>
      <c r="C4" s="494" t="s">
        <v>133</v>
      </c>
      <c r="D4" s="495"/>
      <c r="E4" s="494" t="s">
        <v>333</v>
      </c>
      <c r="F4" s="495"/>
      <c r="G4" s="500" t="s">
        <v>134</v>
      </c>
      <c r="H4" s="501"/>
      <c r="I4" s="500" t="s">
        <v>334</v>
      </c>
      <c r="J4" s="501"/>
      <c r="K4" s="502" t="s">
        <v>79</v>
      </c>
    </row>
    <row r="5" spans="1:15" ht="14.5" thickBot="1" x14ac:dyDescent="0.4">
      <c r="A5" s="497"/>
      <c r="B5" s="499"/>
      <c r="C5" s="136" t="s">
        <v>77</v>
      </c>
      <c r="D5" s="137" t="s">
        <v>78</v>
      </c>
      <c r="E5" s="136" t="s">
        <v>77</v>
      </c>
      <c r="F5" s="137" t="s">
        <v>78</v>
      </c>
      <c r="G5" s="136" t="s">
        <v>77</v>
      </c>
      <c r="H5" s="137" t="s">
        <v>78</v>
      </c>
      <c r="I5" s="136" t="s">
        <v>77</v>
      </c>
      <c r="J5" s="137" t="s">
        <v>78</v>
      </c>
      <c r="K5" s="503"/>
      <c r="O5" s="34"/>
    </row>
    <row r="6" spans="1:15" ht="15" customHeight="1" x14ac:dyDescent="0.35">
      <c r="A6" s="191">
        <v>1</v>
      </c>
      <c r="B6" s="133" t="s">
        <v>135</v>
      </c>
      <c r="C6" s="171">
        <f>SUMIFS(efectivo_uis,rubro_personal,"honorarios",Año_personal,"2023")</f>
        <v>0</v>
      </c>
      <c r="D6" s="171">
        <f>SUMIFS(especie_uis,rubro_personal,"honorarios",Año_personal,"2023")</f>
        <v>0</v>
      </c>
      <c r="E6" s="171">
        <f>SUMIFS(efectivo_uis,rubro_personal,"honorarios",Año_personal,"2024")</f>
        <v>0</v>
      </c>
      <c r="F6" s="171">
        <f>SUMIFS(especie_uis,rubro_personal,"honorarios",Año_personal,"2024")</f>
        <v>0</v>
      </c>
      <c r="G6" s="171">
        <f>SUMIFS(otras_efectivo,rubro_personal,"honorarios",Año_personal,"2023")</f>
        <v>0</v>
      </c>
      <c r="H6" s="172">
        <f>SUMIFS(otras_especie,rubro_personal,"honorarios",Año_personal,"2023")</f>
        <v>0</v>
      </c>
      <c r="I6" s="171">
        <f>SUMIFS(otras_efectivo,rubro_personal,"honorarios",Año_personal,"2024")</f>
        <v>0</v>
      </c>
      <c r="J6" s="172">
        <f>SUMIFS(otras_especie,rubro_personal,"honorarios",Año_personal,"2024")</f>
        <v>0</v>
      </c>
      <c r="K6" s="164">
        <f t="shared" ref="K6:K36" si="0">SUM(C6:J6)</f>
        <v>0</v>
      </c>
      <c r="O6" s="68" t="s">
        <v>136</v>
      </c>
    </row>
    <row r="7" spans="1:15" ht="15" customHeight="1" x14ac:dyDescent="0.35">
      <c r="A7" s="191">
        <v>2</v>
      </c>
      <c r="B7" s="134" t="s">
        <v>137</v>
      </c>
      <c r="C7" s="171">
        <f>SUMIFS(efectivo_uis,rubro_personal,"Auxiliares estudiantiles",Año_personal,"2023")-SUMIFS(Vl_riesgos_est,TipoFinan,"Efectivo",Entidad_finan,"UIS",Año_personal,"2023")</f>
        <v>0</v>
      </c>
      <c r="D7" s="171">
        <v>0</v>
      </c>
      <c r="E7" s="171">
        <f>SUMIFS(efectivo_uis,rubro_personal,"Auxiliares estudiantiles",Año_personal,"2024")-SUMIFS(Vl_riesgos_est,TipoFinan,"Efectivo",Entidad_finan,"UIS",Año_personal,"2024")</f>
        <v>0</v>
      </c>
      <c r="F7" s="171">
        <v>0</v>
      </c>
      <c r="G7" s="171">
        <f>SUMIFS(otras_efectivo,rubro_personal,"Auxiliares estudiantiles",Año_personal,"2023")-SUMIFS(Vl_riesgos_est,TipoFinan,"Efectivo",Entidad_finan,"Otra(s) Institución(es)",Año_personal,"2023")</f>
        <v>0</v>
      </c>
      <c r="H7" s="172">
        <v>0</v>
      </c>
      <c r="I7" s="171">
        <f>SUMIFS(otras_efectivo,rubro_personal,"Auxiliares estudiantiles",Año_personal,"2024")-SUMIFS(Vl_riesgos_est,TipoFinan,"Efectivo",Entidad_finan,"Otra(s) Institución(es)",Año_personal,"2024")</f>
        <v>0</v>
      </c>
      <c r="J7" s="172">
        <v>0</v>
      </c>
      <c r="K7" s="164">
        <f t="shared" si="0"/>
        <v>0</v>
      </c>
      <c r="L7" s="8"/>
      <c r="M7" s="8"/>
      <c r="N7" s="8"/>
      <c r="O7" s="69" t="s">
        <v>138</v>
      </c>
    </row>
    <row r="8" spans="1:15" ht="15" customHeight="1" x14ac:dyDescent="0.35">
      <c r="A8" s="191">
        <v>3</v>
      </c>
      <c r="B8" s="134" t="s">
        <v>139</v>
      </c>
      <c r="C8" s="171">
        <f>SUMIFS(Vl_riesgos_est,Año_personal,"2023",Entidad_finan,"UIS",TipoFinan,"Efectivo")+SUMIFS(Vl_riesgos_est,Año_personal,"2023",Entidad_finan,"UIS",TipoFinan,"Ad-Honorem")</f>
        <v>0</v>
      </c>
      <c r="D8" s="171">
        <v>0</v>
      </c>
      <c r="E8" s="171">
        <f>SUMIFS(Vl_riesgos_est,Año_personal,"2024",Entidad_finan,"UIS",TipoFinan,"Efectivo")+SUMIFS(Vl_riesgos_est,Año_personal,"2024",Entidad_finan,"UIS",TipoFinan,"Ad-Honorem")</f>
        <v>0</v>
      </c>
      <c r="F8" s="171">
        <v>0</v>
      </c>
      <c r="G8" s="171">
        <f>SUMIFS(Vl_riesgos_est,Año_personal,"2023",Entidad_finan,"Otra(s) Institución(es)",TipoFinan,"Efectivo")+SUMIFS(Vl_riesgos_est,Año_personal,"2023",Entidad_finan,"Otra(s) Institución(es)",TipoFinan,"Ad-Honorem")</f>
        <v>0</v>
      </c>
      <c r="H8" s="172">
        <v>0</v>
      </c>
      <c r="I8" s="171">
        <f>SUMIFS(Vl_riesgos_est,Año_personal,"2024",Entidad_finan,"Otra(s) Institución(es)",TipoFinan,"Efectivo")+SUMIFS(Vl_riesgos_est,Año_personal,"2024",Entidad_finan,"Otra(s) Institución(es)",TipoFinan,"Ad-Honorem")</f>
        <v>0</v>
      </c>
      <c r="J8" s="172">
        <v>0</v>
      </c>
      <c r="K8" s="164">
        <f t="shared" si="0"/>
        <v>0</v>
      </c>
      <c r="L8" s="8"/>
      <c r="M8" s="8"/>
      <c r="N8" s="8"/>
      <c r="O8" s="69" t="s">
        <v>140</v>
      </c>
    </row>
    <row r="9" spans="1:15" ht="15" customHeight="1" x14ac:dyDescent="0.35">
      <c r="A9" s="191">
        <v>4</v>
      </c>
      <c r="B9" s="134" t="s">
        <v>141</v>
      </c>
      <c r="C9" s="171">
        <f>SUMIF(Año_ST,"2023",efec_STUIS)</f>
        <v>0</v>
      </c>
      <c r="D9" s="171">
        <f>SUMIF(Año_ST,"2023",Esp_STUIS)</f>
        <v>0</v>
      </c>
      <c r="E9" s="171">
        <f>SUMIF(Año_ST,"2024",efec_STUIS)</f>
        <v>0</v>
      </c>
      <c r="F9" s="171">
        <f>SUMIF(Año_ST,"2024",Esp_STUIS)</f>
        <v>0</v>
      </c>
      <c r="G9" s="171">
        <f>SUMIF(Año_ST,"2023",Efec_STOTRA)</f>
        <v>0</v>
      </c>
      <c r="H9" s="172">
        <f>SUMIF(Año_ST,"2023",Esp_STOTRA)</f>
        <v>0</v>
      </c>
      <c r="I9" s="171">
        <f>SUMIF(Año_ST,"2024",Efec_STOTRA)</f>
        <v>0</v>
      </c>
      <c r="J9" s="172">
        <f>SUMIF(Año_ST,"2024",Esp_STOTRA)</f>
        <v>0</v>
      </c>
      <c r="K9" s="164">
        <f t="shared" si="0"/>
        <v>0</v>
      </c>
      <c r="L9" s="8"/>
      <c r="M9" s="8"/>
      <c r="N9" s="8"/>
      <c r="O9" s="69"/>
    </row>
    <row r="10" spans="1:15" ht="15" customHeight="1" x14ac:dyDescent="0.35">
      <c r="A10" s="191">
        <v>5</v>
      </c>
      <c r="B10" s="134" t="s">
        <v>142</v>
      </c>
      <c r="C10" s="171">
        <f>SUMIFS(ef_viajes,rubro_viajes,"Pasajes",Año_viajes,"2023")</f>
        <v>0</v>
      </c>
      <c r="D10" s="171">
        <f>SUMIFS(esp_viajes,rubro_viajes,"Pasajes",Año_viajes,"2023")</f>
        <v>0</v>
      </c>
      <c r="E10" s="171">
        <f>SUMIFS(ef_viajes,rubro_viajes,"Pasajes",Año_viajes,"2024")</f>
        <v>0</v>
      </c>
      <c r="F10" s="171">
        <f>SUMIFS(esp_viajes,rubro_viajes,"Pasajes",Año_viajes,"2024")</f>
        <v>0</v>
      </c>
      <c r="G10" s="171">
        <f>SUMIFS(ot_efe_via,rubro_viajes,"Pasajes",Año_viajes,"2023")</f>
        <v>0</v>
      </c>
      <c r="H10" s="172">
        <f>SUMIFS(ot_es_viaj,rubro_viajes,"Pasajes",Año_viajes,"2023")</f>
        <v>0</v>
      </c>
      <c r="I10" s="171">
        <f>SUMIFS(ot_efe_via,rubro_viajes,"Pasajes",Año_viajes,"2024")</f>
        <v>0</v>
      </c>
      <c r="J10" s="172">
        <f>SUMIFS(ot_es_viaj,rubro_viajes,"Pasajes",Año_viajes,"2024")</f>
        <v>0</v>
      </c>
      <c r="K10" s="164">
        <f t="shared" si="0"/>
        <v>0</v>
      </c>
      <c r="L10" s="8"/>
      <c r="M10" s="8"/>
      <c r="N10" s="8"/>
      <c r="O10" s="69" t="s">
        <v>143</v>
      </c>
    </row>
    <row r="11" spans="1:15" ht="15" customHeight="1" x14ac:dyDescent="0.35">
      <c r="A11" s="191">
        <v>6</v>
      </c>
      <c r="B11" s="134" t="s">
        <v>144</v>
      </c>
      <c r="C11" s="171">
        <f>SUMIFS(ef_viajes,rubro_viajes,"Viáticos",Año_viajes,"2023")</f>
        <v>0</v>
      </c>
      <c r="D11" s="171">
        <f>SUMIFS(esp_viajes,rubro_viajes,"Viáticos",Año_viajes,"2023")</f>
        <v>0</v>
      </c>
      <c r="E11" s="171">
        <f>SUMIFS(ef_viajes,rubro_viajes,"Viáticos",Año_viajes,"2024")</f>
        <v>0</v>
      </c>
      <c r="F11" s="171">
        <f>SUMIFS(esp_viajes,rubro_viajes,"Viáticos",Año_viajes,"2024")</f>
        <v>0</v>
      </c>
      <c r="G11" s="171">
        <f>SUMIFS(ot_efe_via,rubro_viajes,"Viáticos",Año_viajes,"2023")</f>
        <v>0</v>
      </c>
      <c r="H11" s="172">
        <f>SUMIFS(ot_es_viaj,rubro_viajes,"Viáticos",Año_viajes,"2023")</f>
        <v>0</v>
      </c>
      <c r="I11" s="171">
        <f>SUMIFS(ot_efe_via,rubro_viajes,"Viáticos",Año_viajes,"2024")</f>
        <v>0</v>
      </c>
      <c r="J11" s="172">
        <f>SUMIFS(ot_es_viaj,rubro_viajes,"Viáticos",Año_viajes,"2024")</f>
        <v>0</v>
      </c>
      <c r="K11" s="164">
        <f t="shared" si="0"/>
        <v>0</v>
      </c>
    </row>
    <row r="12" spans="1:15" ht="15" customHeight="1" x14ac:dyDescent="0.35">
      <c r="A12" s="191">
        <v>7</v>
      </c>
      <c r="B12" s="1" t="s">
        <v>145</v>
      </c>
      <c r="C12" s="171">
        <f>SUMIFS(ef_viajes,rubro_viajes,"Gastos de viaje",Año_viajes,"2023")</f>
        <v>0</v>
      </c>
      <c r="D12" s="171">
        <f>SUMIFS(esp_viajes,rubro_viajes,"Gastos de viaje",Año_viajes,"2023")</f>
        <v>0</v>
      </c>
      <c r="E12" s="171">
        <f>SUMIFS(ef_viajes,rubro_viajes,"Gastos de viaje",Año_viajes,"2024")</f>
        <v>0</v>
      </c>
      <c r="F12" s="171">
        <f>SUMIFS(esp_viajes,rubro_viajes,"Gastos de viaje",Año_viajes,"2024")</f>
        <v>0</v>
      </c>
      <c r="G12" s="171">
        <f>SUMIFS(ot_efe_via,rubro_viajes,"Gastos de viaje",Año_viajes,"2023")</f>
        <v>0</v>
      </c>
      <c r="H12" s="172">
        <f>SUMIFS(ot_es_viaj,rubro_viajes,"Gastos de viaje",Año_viajes,"2023")</f>
        <v>0</v>
      </c>
      <c r="I12" s="171">
        <f>SUMIFS(ot_efe_via,rubro_viajes,"Gastos de viaje",Año_viajes,"2024")</f>
        <v>0</v>
      </c>
      <c r="J12" s="172">
        <f>SUMIFS(ot_es_viaj,rubro_viajes,"Gastos de viaje",Año_viajes,"2024")</f>
        <v>0</v>
      </c>
      <c r="K12" s="164">
        <f t="shared" si="0"/>
        <v>0</v>
      </c>
    </row>
    <row r="13" spans="1:15" ht="15" customHeight="1" x14ac:dyDescent="0.35">
      <c r="A13" s="191">
        <v>8</v>
      </c>
      <c r="B13" s="1" t="s">
        <v>146</v>
      </c>
      <c r="C13" s="171">
        <f>SUMIFS(Efe_equipo,rubro_compra,"Equipos de laboratorio",Año_equipos,"2023")</f>
        <v>0</v>
      </c>
      <c r="D13" s="171">
        <f>SUMIFS(espec_equi,rubro_compra,"Equipos de laboratorio",Año_equipos,"2023")</f>
        <v>0</v>
      </c>
      <c r="E13" s="171">
        <f>SUMIFS(Efe_equipo,rubro_compra,"Equipos de laboratorio",Año_equipos,"2024")</f>
        <v>0</v>
      </c>
      <c r="F13" s="171">
        <f>SUMIFS(espec_equi,rubro_compra,"Equipos de laboratorio",Año_equipos,"2024")</f>
        <v>0</v>
      </c>
      <c r="G13" s="171">
        <f>SUMIFS(otr_efe_equ,rubro_compra,"Equipos de laboratorio",Año_equipos,"2023")</f>
        <v>0</v>
      </c>
      <c r="H13" s="172">
        <f>SUMIFS(otr_es_equ,rubro_compra,"Equipos de laboratorio",Año_equipos,"2023")</f>
        <v>0</v>
      </c>
      <c r="I13" s="171">
        <f>SUMIFS(otr_efe_equ,rubro_compra,"Equipos de laboratorio",Año_equipos,"2024")</f>
        <v>0</v>
      </c>
      <c r="J13" s="172">
        <f>SUMIFS(otr_es_equ,rubro_compra,"Equipos de laboratorio",Año_equipos,"2024")</f>
        <v>0</v>
      </c>
      <c r="K13" s="164">
        <f t="shared" si="0"/>
        <v>0</v>
      </c>
    </row>
    <row r="14" spans="1:15" ht="15" customHeight="1" x14ac:dyDescent="0.35">
      <c r="A14" s="191">
        <v>9</v>
      </c>
      <c r="B14" s="1" t="s">
        <v>147</v>
      </c>
      <c r="C14" s="171">
        <f>SUMIFS(Efe_equipo,rubro_compra,"Maquinaria",Año_equipos,"2023")</f>
        <v>0</v>
      </c>
      <c r="D14" s="171">
        <f>SUMIFS(espec_equi,rubro_compra,"Maquinaria",Año_equipos,"2023")</f>
        <v>0</v>
      </c>
      <c r="E14" s="171">
        <f>SUMIFS(Efe_equipo,rubro_compra,"Maquinaria",Año_equipos,"2024")</f>
        <v>0</v>
      </c>
      <c r="F14" s="171">
        <f>SUMIFS(espec_equi,rubro_compra,"Maquinaria",Año_equipos,"2024")</f>
        <v>0</v>
      </c>
      <c r="G14" s="171">
        <f>SUMIFS(otr_efe_equ,rubro_compra,"Maquinaria",Año_equipos,"2023")</f>
        <v>0</v>
      </c>
      <c r="H14" s="172">
        <f>SUMIFS(otr_es_equ,rubro_compra,"Maquinaria",Año_equipos,"2023")</f>
        <v>0</v>
      </c>
      <c r="I14" s="171">
        <f>SUMIFS(otr_efe_equ,rubro_compra,"Maquinaria",Año_equipos,"2024")</f>
        <v>0</v>
      </c>
      <c r="J14" s="172">
        <f>SUMIFS(otr_es_equ,rubro_compra,"Maquinaria",Año_equipos,"2024")</f>
        <v>0</v>
      </c>
      <c r="K14" s="164">
        <f t="shared" si="0"/>
        <v>0</v>
      </c>
    </row>
    <row r="15" spans="1:15" ht="15" customHeight="1" x14ac:dyDescent="0.35">
      <c r="A15" s="191">
        <v>10</v>
      </c>
      <c r="B15" s="1" t="s">
        <v>148</v>
      </c>
      <c r="C15" s="171">
        <f>SUMIF(Año_prácticas,"2023",efec_practicas)</f>
        <v>0</v>
      </c>
      <c r="D15" s="171">
        <f>SUMIF(Año_prácticas,"2023",esp_pract)</f>
        <v>0</v>
      </c>
      <c r="E15" s="171">
        <f>SUMIF(Año_prácticas,"2024",efec_practicas)</f>
        <v>0</v>
      </c>
      <c r="F15" s="171">
        <f>SUMIF(Año_prácticas,"2024",esp_pract)</f>
        <v>0</v>
      </c>
      <c r="G15" s="171">
        <f>SUMIF(Año_prácticas,"2023",otr_efec_prac)</f>
        <v>0</v>
      </c>
      <c r="H15" s="172">
        <f>SUMIF(Año_prácticas,"2023",ot_es_prac)</f>
        <v>0</v>
      </c>
      <c r="I15" s="171">
        <f>SUMIF(Año_prácticas,"2024",otr_efec_prac)</f>
        <v>0</v>
      </c>
      <c r="J15" s="172">
        <f>SUMIF(Año_prácticas,"2024",ot_es_prac)</f>
        <v>0</v>
      </c>
      <c r="K15" s="164">
        <f t="shared" si="0"/>
        <v>0</v>
      </c>
    </row>
    <row r="16" spans="1:15" ht="15" customHeight="1" x14ac:dyDescent="0.35">
      <c r="A16" s="191">
        <v>11</v>
      </c>
      <c r="B16" s="1" t="s">
        <v>149</v>
      </c>
      <c r="C16" s="171">
        <f>SUMIF(Año_reparar,"2023",efec_reparar)</f>
        <v>0</v>
      </c>
      <c r="D16" s="171">
        <f>SUMIF(Año_reparar,"2023",esp_reparar)</f>
        <v>0</v>
      </c>
      <c r="E16" s="171">
        <f>SUMIF(Año_reparar,"2024",efec_reparar)</f>
        <v>0</v>
      </c>
      <c r="F16" s="171">
        <f>SUMIF(Año_reparar,"2024",esp_reparar)</f>
        <v>0</v>
      </c>
      <c r="G16" s="171">
        <f>SUMIF(Año_reparar,"2023",otr_efec_repara)</f>
        <v>0</v>
      </c>
      <c r="H16" s="172">
        <f>SUMIF(Año_reparar,"2023",otr_esp_repa)</f>
        <v>0</v>
      </c>
      <c r="I16" s="171">
        <f>SUMIF(Año_reparar,"2024",otr_efec_repara)</f>
        <v>0</v>
      </c>
      <c r="J16" s="172">
        <f>SUMIF(Año_reparar,"2024",otr_esp_repa)</f>
        <v>0</v>
      </c>
      <c r="K16" s="164">
        <f t="shared" si="0"/>
        <v>0</v>
      </c>
    </row>
    <row r="17" spans="1:11" ht="15" customHeight="1" x14ac:dyDescent="0.35">
      <c r="A17" s="191">
        <v>12</v>
      </c>
      <c r="B17" s="134" t="s">
        <v>150</v>
      </c>
      <c r="C17" s="171">
        <f>SUMIF(Año_reactivos,"2023",efec_reacti)</f>
        <v>0</v>
      </c>
      <c r="D17" s="171">
        <f>SUMIF(Año_reactivos,"2023",esp_react)</f>
        <v>0</v>
      </c>
      <c r="E17" s="171">
        <f>SUMIF(Año_reactivos,"2024",efec_reacti)</f>
        <v>0</v>
      </c>
      <c r="F17" s="171">
        <f>SUMIF(Año_reactivos,"2024",esp_react)</f>
        <v>0</v>
      </c>
      <c r="G17" s="171">
        <f>SUMIF(Año_reactivos,"2023",otra_efec_react)</f>
        <v>0</v>
      </c>
      <c r="H17" s="172">
        <f>SUMIF(Año_reactivos,"2023",otra_esp_reac)</f>
        <v>0</v>
      </c>
      <c r="I17" s="171">
        <f>SUMIF(Año_reactivos,"2024",otra_efec_react)</f>
        <v>0</v>
      </c>
      <c r="J17" s="172">
        <f>SUMIF(Año_reactivos,"2024",otra_esp_reac)</f>
        <v>0</v>
      </c>
      <c r="K17" s="164">
        <f t="shared" si="0"/>
        <v>0</v>
      </c>
    </row>
    <row r="18" spans="1:11" ht="15" customHeight="1" x14ac:dyDescent="0.35">
      <c r="A18" s="191">
        <v>13</v>
      </c>
      <c r="B18" s="134" t="s">
        <v>151</v>
      </c>
      <c r="C18" s="171">
        <f>SUMIF(Año_licencias,"2023",efec_licen)</f>
        <v>0</v>
      </c>
      <c r="D18" s="171">
        <f>SUMIF(Año_licencias,"2023",esp_licenc)</f>
        <v>0</v>
      </c>
      <c r="E18" s="171">
        <f>SUMIF(Año_licencias,"2024",efec_licen)</f>
        <v>0</v>
      </c>
      <c r="F18" s="171">
        <f>SUMIF(Año_licencias,"2024",esp_licenc)</f>
        <v>0</v>
      </c>
      <c r="G18" s="171">
        <f>SUMIF(Año_licencias,"2023",ot_efec_lice)</f>
        <v>0</v>
      </c>
      <c r="H18" s="172">
        <f>SUMIF(Año_licencias,"2023",ot_es_lice)</f>
        <v>0</v>
      </c>
      <c r="I18" s="171">
        <f>SUMIF(Año_licencias,"2023",ot_efec_lice)</f>
        <v>0</v>
      </c>
      <c r="J18" s="172">
        <f>SUMIF(Año_licencias,"2024",ot_es_lice)</f>
        <v>0</v>
      </c>
      <c r="K18" s="164">
        <f t="shared" si="0"/>
        <v>0</v>
      </c>
    </row>
    <row r="19" spans="1:11" ht="15" customHeight="1" x14ac:dyDescent="0.35">
      <c r="A19" s="191">
        <v>14</v>
      </c>
      <c r="B19" s="134" t="s">
        <v>152</v>
      </c>
      <c r="C19" s="171">
        <f>SUMIF(Año_papelería,"2023",efec_papel)</f>
        <v>0</v>
      </c>
      <c r="D19" s="171">
        <f>SUMIF(Año_papelería,"2023",espe_papel)</f>
        <v>0</v>
      </c>
      <c r="E19" s="171">
        <f>SUMIF(Año_papelería,"2024",efec_papel)</f>
        <v>0</v>
      </c>
      <c r="F19" s="171">
        <f>SUMIF(Año_papelería,"2024",espe_papel)</f>
        <v>0</v>
      </c>
      <c r="G19" s="171">
        <f>SUMIF(Año_papelería,"2023",ot_efec_pape)</f>
        <v>0</v>
      </c>
      <c r="H19" s="172">
        <f>SUMIF(Año_papelería,"2023",ot_esp_papel)</f>
        <v>0</v>
      </c>
      <c r="I19" s="171">
        <f>SUMIF(Año_papelería,"2024",ot_efec_pape)</f>
        <v>0</v>
      </c>
      <c r="J19" s="172">
        <f>SUMIF(Año_papelería,"2024",ot_esp_papel)</f>
        <v>0</v>
      </c>
      <c r="K19" s="164">
        <f t="shared" si="0"/>
        <v>0</v>
      </c>
    </row>
    <row r="20" spans="1:11" x14ac:dyDescent="0.35">
      <c r="A20" s="191">
        <v>15</v>
      </c>
      <c r="B20" s="135" t="s">
        <v>153</v>
      </c>
      <c r="C20" s="171">
        <f>SUMIF(Año_libros,"2023",efec_libros)</f>
        <v>0</v>
      </c>
      <c r="D20" s="171">
        <f>SUMIF(Año_libros,"2023",esp_libr)</f>
        <v>0</v>
      </c>
      <c r="E20" s="171">
        <f>SUMIF(Año_libros,"2024",efec_libros)</f>
        <v>0</v>
      </c>
      <c r="F20" s="171">
        <f>SUMIF(Año_libros,"2024",esp_libr)</f>
        <v>0</v>
      </c>
      <c r="G20" s="171">
        <f>SUMIF(Año_libros,"2023",otr_efec_libro)</f>
        <v>0</v>
      </c>
      <c r="H20" s="172">
        <f>SUMIF(Año_libros,"2023",otr_esp_libro)</f>
        <v>0</v>
      </c>
      <c r="I20" s="171">
        <f>SUMIF(Año_libros,"2024",otr_efec_libro)</f>
        <v>0</v>
      </c>
      <c r="J20" s="172">
        <f>SUMIF(Año_libros,"2024",otr_esp_libro)</f>
        <v>0</v>
      </c>
      <c r="K20" s="164">
        <f t="shared" si="0"/>
        <v>0</v>
      </c>
    </row>
    <row r="21" spans="1:11" x14ac:dyDescent="0.35">
      <c r="A21" s="191">
        <v>16</v>
      </c>
      <c r="B21" s="135" t="s">
        <v>154</v>
      </c>
      <c r="C21" s="171">
        <f>SUMIFS(otrosefec_uis,otrosrubrosfi,"Equipo audiovisual",Año_otrosrubros,"2023")</f>
        <v>0</v>
      </c>
      <c r="D21" s="173">
        <f>SUMIFS(otro_es_UIS,otrosrubrosfi,"Equipo audiovisual",Año_otrosrubros,"2023")</f>
        <v>0</v>
      </c>
      <c r="E21" s="171">
        <f>SUMIFS(otrosefec_uis,otrosrubrosfi,"Equipo audiovisual",Año_otrosrubros,"2024")</f>
        <v>0</v>
      </c>
      <c r="F21" s="173">
        <f>SUMIFS(otro_es_UIS,otrosrubrosfi,"Equipo audiovisual",Año_otrosrubros,"2024")</f>
        <v>0</v>
      </c>
      <c r="G21" s="171">
        <f>SUMIFS(otr_efec_otr,otrosrubrosfi,"Equipo audiovisual",Año_otrosrubros,"2023")</f>
        <v>0</v>
      </c>
      <c r="H21" s="174">
        <f>SUMIFS(Otro_Es_otro,otrosrubrosfi,"Equipo audiovisual",Año_otrosrubros,"2023")</f>
        <v>0</v>
      </c>
      <c r="I21" s="171">
        <f>SUMIFS(otr_efec_otr,otrosrubrosfi,"Equipo audiovisual",Año_otrosrubros,"2024")</f>
        <v>0</v>
      </c>
      <c r="J21" s="174">
        <f>SUMIFS(Otro_Es_otro,otrosrubrosfi,"Equipo audiovisual",Año_otrosrubros,"2024")</f>
        <v>0</v>
      </c>
      <c r="K21" s="164">
        <f t="shared" si="0"/>
        <v>0</v>
      </c>
    </row>
    <row r="22" spans="1:11" x14ac:dyDescent="0.35">
      <c r="A22" s="191">
        <v>17</v>
      </c>
      <c r="B22" s="135" t="s">
        <v>155</v>
      </c>
      <c r="C22" s="171">
        <f>SUMIFS(otrosefec_uis,otrosrubrosfi,"Equipo de oficina",Año_otrosrubros,"2023")</f>
        <v>0</v>
      </c>
      <c r="D22" s="173">
        <f>SUMIFS(otro_es_UIS,otrosrubrosfi,"Equipo de oficina",Año_otrosrubros,"2023")</f>
        <v>0</v>
      </c>
      <c r="E22" s="171">
        <f>SUMIFS(otrosefec_uis,otrosrubrosfi,"Equipo de oficina",Año_otrosrubros,"2024")</f>
        <v>0</v>
      </c>
      <c r="F22" s="173">
        <f>SUMIFS(otro_es_UIS,otrosrubrosfi,"Equipo de oficina",Año_otrosrubros,"2024")</f>
        <v>0</v>
      </c>
      <c r="G22" s="171">
        <f>SUMIFS(otr_efec_otr,otrosrubrosfi,"Equipo de oficina",Año_otrosrubros,"2023")</f>
        <v>0</v>
      </c>
      <c r="H22" s="174">
        <f>SUMIFS(Otro_Es_otro,otrosrubrosfi,"Equipo de oficina",Año_otrosrubros,"2023")</f>
        <v>0</v>
      </c>
      <c r="I22" s="171">
        <f>SUMIFS(otr_efec_otr,otrosrubrosfi,"Equipo de oficina",Año_otrosrubros,"2024")</f>
        <v>0</v>
      </c>
      <c r="J22" s="174">
        <f>SUMIFS(Otro_Es_otro,otrosrubrosfi,"Equipo de oficina",Año_otrosrubros,"2024")</f>
        <v>0</v>
      </c>
      <c r="K22" s="164">
        <f t="shared" si="0"/>
        <v>0</v>
      </c>
    </row>
    <row r="23" spans="1:11" x14ac:dyDescent="0.35">
      <c r="A23" s="191">
        <v>18</v>
      </c>
      <c r="B23" s="135" t="s">
        <v>156</v>
      </c>
      <c r="C23" s="171">
        <f>SUMIFS(otrosefec_uis,otrosrubrosfi,"Equipo de cómputo",Año_otrosrubros,"2023")</f>
        <v>0</v>
      </c>
      <c r="D23" s="173">
        <f>SUMIFS(otro_es_UIS,otrosrubrosfi,"Equipo de cómputo",Año_otrosrubros,"2023")</f>
        <v>0</v>
      </c>
      <c r="E23" s="171">
        <f>SUMIFS(otrosefec_uis,otrosrubrosfi,"Equipo de cómputo",Año_otrosrubros,"2024")</f>
        <v>0</v>
      </c>
      <c r="F23" s="173">
        <f>SUMIFS(otro_es_UIS,otrosrubrosfi,"Equipo de cómputo",Año_otrosrubros,"2024")</f>
        <v>0</v>
      </c>
      <c r="G23" s="171">
        <f>SUMIFS(otr_efec_otr,otrosrubrosfi,"Equipo de cómputo",Año_otrosrubros,"2023")</f>
        <v>0</v>
      </c>
      <c r="H23" s="174">
        <f>SUMIFS(Otro_Es_otro,otrosrubrosfi,"Equipo de cómputo",Año_otrosrubros,"2023")</f>
        <v>0</v>
      </c>
      <c r="I23" s="171">
        <f>SUMIFS(otr_efec_otr,otrosrubrosfi,"Equipo de cómputo",Año_otrosrubros,"2024")</f>
        <v>0</v>
      </c>
      <c r="J23" s="174">
        <f>SUMIFS(Otro_Es_otro,otrosrubrosfi,"Equipo de cómputo",Año_otrosrubros,"2024")</f>
        <v>0</v>
      </c>
      <c r="K23" s="164">
        <f t="shared" si="0"/>
        <v>0</v>
      </c>
    </row>
    <row r="24" spans="1:11" x14ac:dyDescent="0.35">
      <c r="A24" s="191">
        <v>19</v>
      </c>
      <c r="B24" s="135" t="s">
        <v>157</v>
      </c>
      <c r="C24" s="171">
        <f>SUMIFS(otrosefec_uis,otrosrubrosfi,"Muebles y enseres",Año_otrosrubros,"2023")</f>
        <v>0</v>
      </c>
      <c r="D24" s="173">
        <f>SUMIFS(otro_es_UIS,otrosrubrosfi,"Muebles y enseres",Año_otrosrubros,"2023")</f>
        <v>0</v>
      </c>
      <c r="E24" s="171">
        <f>SUMIFS(otrosefec_uis,otrosrubrosfi,"Muebles y enseres",Año_otrosrubros,"2024")</f>
        <v>0</v>
      </c>
      <c r="F24" s="173">
        <f>SUMIFS(otro_es_UIS,otrosrubrosfi,"Muebles y enseres",Año_otrosrubros,"2024")</f>
        <v>0</v>
      </c>
      <c r="G24" s="171">
        <f>SUMIFS(otr_efec_otr,otrosrubrosfi,"Muebles y enseres",Año_otrosrubros,"2023")</f>
        <v>0</v>
      </c>
      <c r="H24" s="174">
        <f>SUMIFS(Otro_Es_otro,otrosrubrosfi,"Muebles y enseres",Año_otrosrubros,"2023")</f>
        <v>0</v>
      </c>
      <c r="I24" s="171">
        <f>SUMIFS(otr_efec_otr,otrosrubrosfi,"Muebles y enseres",Año_otrosrubros,"2024")</f>
        <v>0</v>
      </c>
      <c r="J24" s="174">
        <f>SUMIFS(Otro_Es_otro,otrosrubrosfi,"Muebles y enseres",Año_otrosrubros,"2024")</f>
        <v>0</v>
      </c>
      <c r="K24" s="164">
        <f t="shared" si="0"/>
        <v>0</v>
      </c>
    </row>
    <row r="25" spans="1:11" x14ac:dyDescent="0.35">
      <c r="A25" s="191">
        <v>20</v>
      </c>
      <c r="B25" s="135" t="s">
        <v>158</v>
      </c>
      <c r="C25" s="171">
        <f>SUMIFS(otrosefec_uis,otrosrubrosfi,"Elementos de laboratorio",Año_otrosrubros,"2023")</f>
        <v>0</v>
      </c>
      <c r="D25" s="173">
        <f>SUMIFS(otro_es_UIS,otrosrubrosfi,"Elementos de laboratorio",Año_otrosrubros,"2023")</f>
        <v>0</v>
      </c>
      <c r="E25" s="171">
        <f>SUMIFS(otrosefec_uis,otrosrubrosfi,"Elementos de laboratorio",Año_otrosrubros,"2024")</f>
        <v>0</v>
      </c>
      <c r="F25" s="173">
        <f>SUMIFS(otro_es_UIS,otrosrubrosfi,"Elementos de laboratorio",Año_otrosrubros,"2024")</f>
        <v>0</v>
      </c>
      <c r="G25" s="171">
        <f>SUMIFS(otr_efec_otr,otrosrubrosfi,"Elementos de laboratorio",Año_otrosrubros,"2023")</f>
        <v>0</v>
      </c>
      <c r="H25" s="174">
        <f>SUMIFS(Otro_Es_otro,otrosrubrosfi,"Elementos de laboratorio",Año_otrosrubros,"2023")</f>
        <v>0</v>
      </c>
      <c r="I25" s="171">
        <f>SUMIFS(otr_efec_otr,otrosrubrosfi,"Elementos de laboratorio",Año_otrosrubros,"2024")</f>
        <v>0</v>
      </c>
      <c r="J25" s="174">
        <f>SUMIFS(Otro_Es_otro,otrosrubrosfi,"Elementos de laboratorio",Año_otrosrubros,"2024")</f>
        <v>0</v>
      </c>
      <c r="K25" s="164">
        <f t="shared" si="0"/>
        <v>0</v>
      </c>
    </row>
    <row r="26" spans="1:11" x14ac:dyDescent="0.35">
      <c r="A26" s="191">
        <v>21</v>
      </c>
      <c r="B26" s="135" t="s">
        <v>159</v>
      </c>
      <c r="C26" s="171">
        <f>SUMIFS(otrosefec_uis,otrosrubrosfi,"Herramientas",Año_otrosrubros,"2023")</f>
        <v>0</v>
      </c>
      <c r="D26" s="173">
        <f>SUMIFS(otro_es_UIS,otrosrubrosfi,"Herramientas",Año_otrosrubros,"2023")</f>
        <v>0</v>
      </c>
      <c r="E26" s="171">
        <f>SUMIFS(otrosefec_uis,otrosrubrosfi,"Herramientas",Año_otrosrubros,"2024")</f>
        <v>0</v>
      </c>
      <c r="F26" s="173">
        <f>SUMIFS(otro_es_UIS,otrosrubrosfi,"Herramientas",Año_otrosrubros,"2024")</f>
        <v>0</v>
      </c>
      <c r="G26" s="171">
        <f>SUMIFS(otr_efec_otr,otrosrubrosfi,"Herramientas",Año_otrosrubros,"2023")</f>
        <v>0</v>
      </c>
      <c r="H26" s="174">
        <f>SUMIFS(Otro_Es_otro,otrosrubrosfi,"Herramientas",Año_otrosrubros,"2023")</f>
        <v>0</v>
      </c>
      <c r="I26" s="171">
        <f>SUMIFS(otr_efec_otr,otrosrubrosfi,"Herramientas",Año_otrosrubros,"2024")</f>
        <v>0</v>
      </c>
      <c r="J26" s="174">
        <f>SUMIFS(Otro_Es_otro,otrosrubrosfi,"Herramientas",Año_otrosrubros,"2024")</f>
        <v>0</v>
      </c>
      <c r="K26" s="164">
        <f t="shared" si="0"/>
        <v>0</v>
      </c>
    </row>
    <row r="27" spans="1:11" x14ac:dyDescent="0.35">
      <c r="A27" s="191">
        <v>22</v>
      </c>
      <c r="B27" s="135" t="s">
        <v>160</v>
      </c>
      <c r="C27" s="171">
        <f>SUMIFS(otrosefec_uis,otrosrubrosfi,"Montaje e instalaciones",Año_otrosrubros,"2023")</f>
        <v>0</v>
      </c>
      <c r="D27" s="173">
        <f>SUMIFS(otro_es_UIS,otrosrubrosfi,"Montaje e instalaciones",Año_otrosrubros,"2023")</f>
        <v>0</v>
      </c>
      <c r="E27" s="171">
        <f>SUMIFS(otrosefec_uis,otrosrubrosfi,"Montaje e instalaciones",Año_otrosrubros,"2024")</f>
        <v>0</v>
      </c>
      <c r="F27" s="173">
        <f>SUMIFS(otro_es_UIS,otrosrubrosfi,"Montaje e instalaciones",Año_otrosrubros,"2024")</f>
        <v>0</v>
      </c>
      <c r="G27" s="171">
        <f>SUMIFS(otr_efec_otr,otrosrubrosfi,"Montaje e instalaciones",Año_otrosrubros,"2023")</f>
        <v>0</v>
      </c>
      <c r="H27" s="174">
        <f>SUMIFS(Otro_Es_otro,otrosrubrosfi,"Montaje e instalaciones",Año_otrosrubros,"2023")</f>
        <v>0</v>
      </c>
      <c r="I27" s="171">
        <f>SUMIFS(otr_efec_otr,otrosrubrosfi,"Montaje e instalaciones",Año_otrosrubros,"2024")</f>
        <v>0</v>
      </c>
      <c r="J27" s="174">
        <f>SUMIFS(Otro_Es_otro,otrosrubrosfi,"Montaje e instalaciones",Año_otrosrubros,"2024")</f>
        <v>0</v>
      </c>
      <c r="K27" s="164">
        <f t="shared" si="0"/>
        <v>0</v>
      </c>
    </row>
    <row r="28" spans="1:11" x14ac:dyDescent="0.35">
      <c r="A28" s="191">
        <v>23</v>
      </c>
      <c r="B28" s="135" t="s">
        <v>161</v>
      </c>
      <c r="C28" s="171">
        <f>SUMIFS(otrosefec_uis,otrosrubrosfi,"Adecuaciones",Año_otrosrubros,"2023")</f>
        <v>0</v>
      </c>
      <c r="D28" s="173">
        <f>SUMIFS(otro_es_UIS,otrosrubrosfi,"Adecuaciones",Año_otrosrubros,"2023")</f>
        <v>0</v>
      </c>
      <c r="E28" s="171">
        <f>SUMIFS(otrosefec_uis,otrosrubrosfi,"Adecuaciones",Año_otrosrubros,"2024")</f>
        <v>0</v>
      </c>
      <c r="F28" s="173">
        <f>SUMIFS(otro_es_UIS,otrosrubrosfi,"Adecuaciones",Año_otrosrubros,"2024")</f>
        <v>0</v>
      </c>
      <c r="G28" s="171">
        <f>SUMIFS(otr_efec_otr,otrosrubrosfi,"Adecuaciones",Año_otrosrubros,"2023")</f>
        <v>0</v>
      </c>
      <c r="H28" s="174">
        <f>SUMIFS(Otro_Es_otro,otrosrubrosfi,"Adecuaciones",Año_otrosrubros,"2023")</f>
        <v>0</v>
      </c>
      <c r="I28" s="171">
        <f>SUMIFS(otr_efec_otr,otrosrubrosfi,"Adecuaciones",Año_otrosrubros,"2024")</f>
        <v>0</v>
      </c>
      <c r="J28" s="174">
        <f>SUMIFS(Otro_Es_otro,otrosrubrosfi,"Adecuaciones",Año_otrosrubros,"2024")</f>
        <v>0</v>
      </c>
      <c r="K28" s="164">
        <f t="shared" si="0"/>
        <v>0</v>
      </c>
    </row>
    <row r="29" spans="1:11" x14ac:dyDescent="0.35">
      <c r="A29" s="191">
        <v>24</v>
      </c>
      <c r="B29" s="135" t="s">
        <v>162</v>
      </c>
      <c r="C29" s="171">
        <f>SUMIFS(otrosefec_uis,otrosrubrosfi,"Arrendamientos",Año_otrosrubros,"2023")</f>
        <v>0</v>
      </c>
      <c r="D29" s="173">
        <f>SUMIFS(otro_es_UIS,otrosrubrosfi,"Arrendamientos",Año_otrosrubros,"2023")</f>
        <v>0</v>
      </c>
      <c r="E29" s="171">
        <f>SUMIFS(otrosefec_uis,otrosrubrosfi,"Arrendamientos",Año_otrosrubros,"2024")</f>
        <v>0</v>
      </c>
      <c r="F29" s="173">
        <f>SUMIFS(otro_es_UIS,otrosrubrosfi,"Arrendamientos",Año_otrosrubros,"2024")</f>
        <v>0</v>
      </c>
      <c r="G29" s="171">
        <f>SUMIFS(otr_efec_otr,otrosrubrosfi,"Arrendamientos",Año_otrosrubros,"2023")</f>
        <v>0</v>
      </c>
      <c r="H29" s="174">
        <f>SUMIFS(Otro_Es_otro,otrosrubrosfi,"Arrendamientos",Año_otrosrubros,"2023")</f>
        <v>0</v>
      </c>
      <c r="I29" s="171">
        <f>SUMIFS(otr_efec_otr,otrosrubrosfi,"Arrendamientos",Año_otrosrubros,"2024")</f>
        <v>0</v>
      </c>
      <c r="J29" s="174">
        <f>SUMIFS(Otro_Es_otro,otrosrubrosfi,"Arrendamientos",Año_otrosrubros,"2024")</f>
        <v>0</v>
      </c>
      <c r="K29" s="164">
        <f t="shared" si="0"/>
        <v>0</v>
      </c>
    </row>
    <row r="30" spans="1:11" x14ac:dyDescent="0.35">
      <c r="A30" s="191">
        <v>25</v>
      </c>
      <c r="B30" s="135" t="s">
        <v>163</v>
      </c>
      <c r="C30" s="171">
        <f>SUMIFS(otrosefec_uis,otrosrubrosfi,"Seguros",Año_otrosrubros,"2023")</f>
        <v>0</v>
      </c>
      <c r="D30" s="173">
        <f>SUMIFS(otro_es_UIS,otrosrubrosfi,"Seguros",Año_otrosrubros,"2023")</f>
        <v>0</v>
      </c>
      <c r="E30" s="171">
        <f>SUMIFS(otrosefec_uis,otrosrubrosfi,"Seguros",Año_otrosrubros,"2024")</f>
        <v>0</v>
      </c>
      <c r="F30" s="173">
        <f>SUMIFS(otro_es_UIS,otrosrubrosfi,"Seguros",Año_otrosrubros,"2024")</f>
        <v>0</v>
      </c>
      <c r="G30" s="171">
        <f>SUMIFS(otr_efec_otr,otrosrubrosfi,"Seguros",Año_otrosrubros,"2023")</f>
        <v>0</v>
      </c>
      <c r="H30" s="174">
        <f>SUMIFS(Otro_Es_otro,otrosrubrosfi,"Seguros",Año_otrosrubros,"2023")</f>
        <v>0</v>
      </c>
      <c r="I30" s="171">
        <f>SUMIFS(otr_efec_otr,otrosrubrosfi,"Seguros",Año_otrosrubros,"2024")</f>
        <v>0</v>
      </c>
      <c r="J30" s="174">
        <f>SUMIFS(Otro_Es_otro,otrosrubrosfi,"Seguros",Año_otrosrubros,"2024")</f>
        <v>0</v>
      </c>
      <c r="K30" s="164">
        <f t="shared" si="0"/>
        <v>0</v>
      </c>
    </row>
    <row r="31" spans="1:11" x14ac:dyDescent="0.35">
      <c r="A31" s="191">
        <v>26</v>
      </c>
      <c r="B31" s="135" t="s">
        <v>164</v>
      </c>
      <c r="C31" s="171">
        <f>SUMIFS(otrosefec_uis,otrosrubrosfi,"Capacitación de personal",Año_otrosrubros,"2023")</f>
        <v>0</v>
      </c>
      <c r="D31" s="173">
        <f>SUMIFS(otro_es_UIS,otrosrubrosfi,"Capacitación de personal",Año_otrosrubros,"2023")</f>
        <v>0</v>
      </c>
      <c r="E31" s="171">
        <f>SUMIFS(otrosefec_uis,otrosrubrosfi,"Capacitación de personal",Año_otrosrubros,"2024")</f>
        <v>0</v>
      </c>
      <c r="F31" s="173">
        <f>SUMIFS(otro_es_UIS,otrosrubrosfi,"Capacitación de personal",Año_otrosrubros,"2024")</f>
        <v>0</v>
      </c>
      <c r="G31" s="171">
        <f>SUMIFS(otr_efec_otr,otrosrubrosfi,"Capacitación de personal",Año_otrosrubros,"2023")</f>
        <v>0</v>
      </c>
      <c r="H31" s="174">
        <f>SUMIFS(Otro_Es_otro,otrosrubrosfi,"Capacitación de personal",Año_otrosrubros,"2023")</f>
        <v>0</v>
      </c>
      <c r="I31" s="171">
        <f>SUMIFS(otr_efec_otr,otrosrubrosfi,"Capacitación de personal",Año_otrosrubros,"2024")</f>
        <v>0</v>
      </c>
      <c r="J31" s="174">
        <f>SUMIFS(Otro_Es_otro,otrosrubrosfi,"Capacitación de personal",Año_otrosrubros,"2024")</f>
        <v>0</v>
      </c>
      <c r="K31" s="164">
        <f t="shared" si="0"/>
        <v>0</v>
      </c>
    </row>
    <row r="32" spans="1:11" x14ac:dyDescent="0.35">
      <c r="A32" s="191">
        <v>27</v>
      </c>
      <c r="B32" s="135" t="s">
        <v>165</v>
      </c>
      <c r="C32" s="171">
        <f>SUMIFS(otrosefec_uis,otrosrubrosfi,"Portes y fletes",Año_otrosrubros,"2023")</f>
        <v>0</v>
      </c>
      <c r="D32" s="173">
        <f>SUMIFS(otro_es_UIS,otrosrubrosfi,"Portes y fletes",Año_otrosrubros,"2023")</f>
        <v>0</v>
      </c>
      <c r="E32" s="171">
        <f>SUMIFS(otrosefec_uis,otrosrubrosfi,"Portes y fletes",Año_otrosrubros,"2024")</f>
        <v>0</v>
      </c>
      <c r="F32" s="173">
        <f>SUMIFS(otro_es_UIS,otrosrubrosfi,"Portes y fletes",Año_otrosrubros,"2024")</f>
        <v>0</v>
      </c>
      <c r="G32" s="171">
        <f>SUMIFS(otr_efec_otr,otrosrubrosfi,"Portes y fletes",Año_otrosrubros,"2023")</f>
        <v>0</v>
      </c>
      <c r="H32" s="174">
        <f>SUMIFS(Otro_Es_otro,otrosrubrosfi,"Portes y fletes",Año_otrosrubros,"2023")</f>
        <v>0</v>
      </c>
      <c r="I32" s="171">
        <f>SUMIFS(otr_efec_otr,otrosrubrosfi,"Portes y fletes",Año_otrosrubros,"2024")</f>
        <v>0</v>
      </c>
      <c r="J32" s="174">
        <f>SUMIFS(Otro_Es_otro,otrosrubrosfi,"Portes y fletes",Año_otrosrubros,"2024")</f>
        <v>0</v>
      </c>
      <c r="K32" s="164">
        <f t="shared" si="0"/>
        <v>0</v>
      </c>
    </row>
    <row r="33" spans="1:11" x14ac:dyDescent="0.35">
      <c r="A33" s="191">
        <v>28</v>
      </c>
      <c r="B33" s="135" t="s">
        <v>166</v>
      </c>
      <c r="C33" s="171">
        <f>SUMIFS(otrosefec_uis,otrosrubrosfi,"Acarreos",Año_otrosrubros,"2023")</f>
        <v>0</v>
      </c>
      <c r="D33" s="173">
        <f>SUMIFS(otro_es_UIS,otrosrubrosfi,"Acarreos",Año_otrosrubros,"2023")</f>
        <v>0</v>
      </c>
      <c r="E33" s="171">
        <f>SUMIFS(otrosefec_uis,otrosrubrosfi,"Acarreos",Año_otrosrubros,"2024")</f>
        <v>0</v>
      </c>
      <c r="F33" s="173">
        <f>SUMIFS(otro_es_UIS,otrosrubrosfi,"Acarreos",Año_otrosrubros,"2024")</f>
        <v>0</v>
      </c>
      <c r="G33" s="171">
        <f>SUMIFS(otr_efec_otr,otrosrubrosfi,"Acarreos",Año_otrosrubros,"2023")</f>
        <v>0</v>
      </c>
      <c r="H33" s="174">
        <f>SUMIFS(Otro_Es_otro,otrosrubrosfi,"Acarreos",Año_otrosrubros,"2023")</f>
        <v>0</v>
      </c>
      <c r="I33" s="171">
        <f>SUMIFS(otr_efec_otr,otrosrubrosfi,"Acarreos",Año_otrosrubros,"2024")</f>
        <v>0</v>
      </c>
      <c r="J33" s="174">
        <f>SUMIFS(Otro_Es_otro,otrosrubrosfi,"Acarreos",Año_otrosrubros,"2024")</f>
        <v>0</v>
      </c>
      <c r="K33" s="164">
        <f t="shared" si="0"/>
        <v>0</v>
      </c>
    </row>
    <row r="34" spans="1:11" x14ac:dyDescent="0.35">
      <c r="A34" s="191">
        <v>29</v>
      </c>
      <c r="B34" s="135" t="s">
        <v>167</v>
      </c>
      <c r="C34" s="171">
        <f>SUMIFS(otrosefec_uis,otrosrubrosfi,"Avisos e impresos",Año_otrosrubros,"2023")</f>
        <v>0</v>
      </c>
      <c r="D34" s="173">
        <f>SUMIFS(otro_es_UIS,otrosrubrosfi,"Avisos e impresos",Año_otrosrubros,"2023")</f>
        <v>0</v>
      </c>
      <c r="E34" s="171">
        <f>SUMIFS(otrosefec_uis,otrosrubrosfi,"Avisos e impresos",Año_otrosrubros,"2024")</f>
        <v>0</v>
      </c>
      <c r="F34" s="173">
        <f>SUMIFS(otro_es_UIS,otrosrubrosfi,"Avisos e impresos",Año_otrosrubros,"2024")</f>
        <v>0</v>
      </c>
      <c r="G34" s="171">
        <f>SUMIFS(otr_efec_otr,otrosrubrosfi,"Avisos e impresos",Año_otrosrubros,"2023")</f>
        <v>0</v>
      </c>
      <c r="H34" s="174">
        <f>SUMIFS(Otro_Es_otro,otrosrubrosfi,"Avisos e impresos",Año_otrosrubros,"2023")</f>
        <v>0</v>
      </c>
      <c r="I34" s="171">
        <f>SUMIFS(otr_efec_otr,otrosrubrosfi,"Avisos e impresos",Año_otrosrubros,"2024")</f>
        <v>0</v>
      </c>
      <c r="J34" s="174">
        <f>SUMIFS(Otro_Es_otro,otrosrubrosfi,"Avisos e impresos",Año_otrosrubros,"2024")</f>
        <v>0</v>
      </c>
      <c r="K34" s="164">
        <f t="shared" si="0"/>
        <v>0</v>
      </c>
    </row>
    <row r="35" spans="1:11" x14ac:dyDescent="0.35">
      <c r="A35" s="205">
        <v>30</v>
      </c>
      <c r="B35" s="135" t="s">
        <v>168</v>
      </c>
      <c r="C35" s="171">
        <f>SUMIFS(otrosefec_uis,otrosrubrosfi,"Semovientes",Año_otrosrubros,"2023")</f>
        <v>0</v>
      </c>
      <c r="D35" s="173">
        <f>SUMIFS(otro_es_UIS,otrosrubrosfi,"Semovientes",Año_otrosrubros,"2023")</f>
        <v>0</v>
      </c>
      <c r="E35" s="171">
        <f>SUMIFS(otrosefec_uis,otrosrubrosfi,"Semovientes",Año_otrosrubros,"2024")</f>
        <v>0</v>
      </c>
      <c r="F35" s="173">
        <f>SUMIFS(otro_es_UIS,otrosrubrosfi,"Semovientes",Año_otrosrubros,"2024")</f>
        <v>0</v>
      </c>
      <c r="G35" s="171">
        <f>SUMIFS(otr_efec_otr,otrosrubrosfi,"Semovientes",Año_otrosrubros,"2023")</f>
        <v>0</v>
      </c>
      <c r="H35" s="174">
        <f>SUMIFS(Otro_Es_otro,otrosrubrosfi,"Semovientes",Año_otrosrubros,"2023")</f>
        <v>0</v>
      </c>
      <c r="I35" s="171">
        <f>SUMIFS(otr_efec_otr,otrosrubrosfi,"Semovientes",Año_otrosrubros,"2024")</f>
        <v>0</v>
      </c>
      <c r="J35" s="174">
        <f>SUMIFS(Otro_Es_otro,otrosrubrosfi,"Semovientes",Año_otrosrubros,"2024")</f>
        <v>0</v>
      </c>
      <c r="K35" s="164">
        <f t="shared" si="0"/>
        <v>0</v>
      </c>
    </row>
    <row r="36" spans="1:11" ht="14.5" thickBot="1" x14ac:dyDescent="0.4">
      <c r="A36" s="192">
        <v>31</v>
      </c>
      <c r="B36" s="189" t="s">
        <v>169</v>
      </c>
      <c r="C36" s="180">
        <f>SUMIFS(otrosefec_uis,otrosrubrosfi,"Gastos de importación",Año_otrosrubros,"2023")</f>
        <v>0</v>
      </c>
      <c r="D36" s="180">
        <f>SUMIFS(otro_es_UIS,otrosrubrosfi,"Gastos de importación",Año_otrosrubros,"2023")</f>
        <v>0</v>
      </c>
      <c r="E36" s="180">
        <f>SUMIFS(otrosefec_uis,otrosrubrosfi,"Gastos de importación",Año_otrosrubros,"2024")</f>
        <v>0</v>
      </c>
      <c r="F36" s="180">
        <f>SUMIFS(otro_es_UIS,otrosrubrosfi,"Gastos de importación",Año_otrosrubros,"2024")</f>
        <v>0</v>
      </c>
      <c r="G36" s="180">
        <f>SUMIFS(otr_efec_otr,otrosrubrosfi,"Gastos de importación",Año_otrosrubros,"2023")</f>
        <v>0</v>
      </c>
      <c r="H36" s="190">
        <f>SUMIFS(Otro_Es_otro,otrosrubrosfi,"Gastos de importación",Año_otrosrubros,"2023")</f>
        <v>0</v>
      </c>
      <c r="I36" s="180">
        <f>SUMIFS(otr_efec_otr,otrosrubrosfi,"Gastos de importación",Año_otrosrubros,"2024")</f>
        <v>0</v>
      </c>
      <c r="J36" s="190">
        <f>SUMIFS(Otro_Es_otro,otrosrubrosfi,"Gastos de importación",Año_otrosrubros,"2024")</f>
        <v>0</v>
      </c>
      <c r="K36" s="164">
        <f t="shared" si="0"/>
        <v>0</v>
      </c>
    </row>
    <row r="37" spans="1:11" ht="14.5" thickBot="1" x14ac:dyDescent="0.4">
      <c r="A37" s="483" t="s">
        <v>79</v>
      </c>
      <c r="B37" s="484"/>
      <c r="C37" s="165">
        <f t="shared" ref="C37:J37" si="1">SUM(C6:C36)</f>
        <v>0</v>
      </c>
      <c r="D37" s="165">
        <f t="shared" si="1"/>
        <v>0</v>
      </c>
      <c r="E37" s="165">
        <f t="shared" si="1"/>
        <v>0</v>
      </c>
      <c r="F37" s="165">
        <f t="shared" si="1"/>
        <v>0</v>
      </c>
      <c r="G37" s="165">
        <f t="shared" si="1"/>
        <v>0</v>
      </c>
      <c r="H37" s="165">
        <f t="shared" si="1"/>
        <v>0</v>
      </c>
      <c r="I37" s="165">
        <f t="shared" si="1"/>
        <v>0</v>
      </c>
      <c r="J37" s="165">
        <f t="shared" si="1"/>
        <v>0</v>
      </c>
      <c r="K37" s="188">
        <f>SUM(K6:K36)</f>
        <v>0</v>
      </c>
    </row>
    <row r="38" spans="1:11" ht="14.5" thickBot="1" x14ac:dyDescent="0.4"/>
    <row r="39" spans="1:11" x14ac:dyDescent="0.35">
      <c r="B39" s="489" t="s">
        <v>27</v>
      </c>
      <c r="C39" s="490"/>
      <c r="D39" s="490"/>
      <c r="E39" s="491"/>
      <c r="F39" s="35"/>
      <c r="G39" s="35"/>
      <c r="H39" s="35"/>
    </row>
    <row r="40" spans="1:11" x14ac:dyDescent="0.35">
      <c r="B40" s="485" t="s">
        <v>117</v>
      </c>
      <c r="C40" s="36" t="s">
        <v>77</v>
      </c>
      <c r="D40" s="166">
        <f>C37+E37</f>
        <v>0</v>
      </c>
      <c r="E40" s="480">
        <f>+D40+D41</f>
        <v>0</v>
      </c>
    </row>
    <row r="41" spans="1:11" x14ac:dyDescent="0.35">
      <c r="B41" s="486"/>
      <c r="C41" s="37" t="s">
        <v>78</v>
      </c>
      <c r="D41" s="167">
        <f>D37+F37</f>
        <v>0</v>
      </c>
      <c r="E41" s="481"/>
    </row>
    <row r="42" spans="1:11" x14ac:dyDescent="0.35">
      <c r="B42" s="487" t="s">
        <v>76</v>
      </c>
      <c r="C42" s="36" t="s">
        <v>77</v>
      </c>
      <c r="D42" s="166">
        <f>G37+I37</f>
        <v>0</v>
      </c>
      <c r="E42" s="480">
        <f>+D42+D43</f>
        <v>0</v>
      </c>
    </row>
    <row r="43" spans="1:11" ht="14.5" thickBot="1" x14ac:dyDescent="0.4">
      <c r="B43" s="488"/>
      <c r="C43" s="37" t="s">
        <v>78</v>
      </c>
      <c r="D43" s="168">
        <f>H37+J37</f>
        <v>0</v>
      </c>
      <c r="E43" s="482"/>
    </row>
    <row r="44" spans="1:11" ht="14.5" thickBot="1" x14ac:dyDescent="0.4">
      <c r="B44" s="478" t="s">
        <v>170</v>
      </c>
      <c r="C44" s="479"/>
      <c r="D44" s="479"/>
      <c r="E44" s="153">
        <f>E40+E42</f>
        <v>0</v>
      </c>
      <c r="F44" s="39"/>
      <c r="G44" s="39"/>
      <c r="H44" s="39"/>
    </row>
    <row r="45" spans="1:11" ht="14.5" thickBot="1" x14ac:dyDescent="0.4">
      <c r="B45" s="196"/>
      <c r="C45" s="196"/>
      <c r="D45" s="196"/>
      <c r="E45" s="195"/>
      <c r="F45" s="39"/>
      <c r="G45" s="39"/>
      <c r="H45" s="39"/>
    </row>
    <row r="46" spans="1:11" x14ac:dyDescent="0.35">
      <c r="B46" s="197" t="s">
        <v>171</v>
      </c>
      <c r="C46" s="198" t="s">
        <v>172</v>
      </c>
      <c r="D46" s="198" t="s">
        <v>339</v>
      </c>
      <c r="E46" s="200" t="s">
        <v>79</v>
      </c>
      <c r="F46" s="39"/>
      <c r="G46" s="39"/>
    </row>
    <row r="47" spans="1:11" ht="14.5" thickBot="1" x14ac:dyDescent="0.4">
      <c r="B47" s="199" t="s">
        <v>173</v>
      </c>
      <c r="C47" s="201">
        <f>IFERROR(C37/D40,0)</f>
        <v>0</v>
      </c>
      <c r="D47" s="201">
        <f>IFERROR(E37/D40,0)</f>
        <v>0</v>
      </c>
      <c r="E47" s="202">
        <f>SUM(C47:D47)</f>
        <v>0</v>
      </c>
      <c r="F47" s="39"/>
      <c r="G47" s="39"/>
    </row>
    <row r="48" spans="1:11" x14ac:dyDescent="0.35">
      <c r="B48" s="196"/>
      <c r="C48" s="196"/>
      <c r="D48" s="196"/>
      <c r="E48" s="195"/>
      <c r="F48" s="39"/>
      <c r="G48" s="39"/>
      <c r="H48" s="39"/>
    </row>
    <row r="49" spans="2:8" ht="14.5" thickBot="1" x14ac:dyDescent="0.4"/>
    <row r="50" spans="2:8" ht="56" x14ac:dyDescent="0.35">
      <c r="B50" s="225" t="s">
        <v>174</v>
      </c>
      <c r="C50" s="220" t="s">
        <v>175</v>
      </c>
      <c r="D50" s="221" t="s">
        <v>176</v>
      </c>
      <c r="E50" s="221" t="s">
        <v>177</v>
      </c>
      <c r="G50" s="85"/>
      <c r="H50" s="7"/>
    </row>
    <row r="51" spans="2:8" ht="70.5" thickBot="1" x14ac:dyDescent="0.4">
      <c r="B51" s="222" t="s">
        <v>178</v>
      </c>
      <c r="C51" s="223"/>
      <c r="D51" s="224" t="e">
        <f>ROUND((C51/D40),4)</f>
        <v>#DIV/0!</v>
      </c>
      <c r="E51" s="224" t="e">
        <f>IF(D51&gt;0.0499,"CUMPLE","NO CUMPLE")</f>
        <v>#DIV/0!</v>
      </c>
      <c r="G51" s="170"/>
      <c r="H51" s="7"/>
    </row>
    <row r="52" spans="2:8" x14ac:dyDescent="0.35">
      <c r="B52" s="170"/>
    </row>
    <row r="53" spans="2:8" x14ac:dyDescent="0.35">
      <c r="F53" s="203"/>
    </row>
  </sheetData>
  <mergeCells count="17">
    <mergeCell ref="C2:K2"/>
    <mergeCell ref="C3:K3"/>
    <mergeCell ref="A1:K1"/>
    <mergeCell ref="C4:D4"/>
    <mergeCell ref="A4:A5"/>
    <mergeCell ref="B4:B5"/>
    <mergeCell ref="G4:H4"/>
    <mergeCell ref="K4:K5"/>
    <mergeCell ref="E4:F4"/>
    <mergeCell ref="I4:J4"/>
    <mergeCell ref="B44:D44"/>
    <mergeCell ref="E40:E41"/>
    <mergeCell ref="E42:E43"/>
    <mergeCell ref="A37:B37"/>
    <mergeCell ref="B40:B41"/>
    <mergeCell ref="B42:B43"/>
    <mergeCell ref="B39:E39"/>
  </mergeCells>
  <conditionalFormatting sqref="H50:H51">
    <cfRule type="containsText" dxfId="6" priority="7" operator="containsText" text="El dinero">
      <formula>NOT(ISERROR(SEARCH("El dinero",H50)))</formula>
    </cfRule>
  </conditionalFormatting>
  <conditionalFormatting sqref="P39:P40 J40:O40">
    <cfRule type="containsText" dxfId="5" priority="6" stopIfTrue="1" operator="containsText" text="Excede">
      <formula>NOT(ISERROR(SEARCH("Excede",J39)))</formula>
    </cfRule>
  </conditionalFormatting>
  <conditionalFormatting sqref="J42:P42">
    <cfRule type="containsText" dxfId="4" priority="5" stopIfTrue="1" operator="containsText" text="Excede">
      <formula>NOT(ISERROR(SEARCH("Excede",J42)))</formula>
    </cfRule>
  </conditionalFormatting>
  <conditionalFormatting sqref="J41:P41">
    <cfRule type="containsText" dxfId="3" priority="4" stopIfTrue="1" operator="containsText" text="no">
      <formula>NOT(ISERROR(SEARCH("no",J41)))</formula>
    </cfRule>
  </conditionalFormatting>
  <conditionalFormatting sqref="I39">
    <cfRule type="containsText" dxfId="2" priority="3" stopIfTrue="1" operator="containsText" text="Excede">
      <formula>NOT(ISERROR(SEARCH("Excede",I39)))</formula>
    </cfRule>
  </conditionalFormatting>
  <conditionalFormatting sqref="I39">
    <cfRule type="containsText" dxfId="1" priority="2" stopIfTrue="1" operator="containsText" text="no">
      <formula>NOT(ISERROR(SEARCH("no",I39)))</formula>
    </cfRule>
  </conditionalFormatting>
  <conditionalFormatting sqref="G50:G51">
    <cfRule type="containsText" dxfId="0" priority="1" operator="containsText" text="El dinero">
      <formula>NOT(ISERROR(SEARCH("El dinero",G50)))</formula>
    </cfRule>
  </conditionalFormatting>
  <dataValidations xWindow="283" yWindow="706" count="30">
    <dataValidation allowBlank="1" showInputMessage="1" showErrorMessage="1" prompt="Valor de los equipos adquiridos para dotación y uso de los laboratorios de docencia, investigación, extensión, asesoría y servicios de salud de la Universidad." sqref="B13" xr:uid="{00000000-0002-0000-0300-000000000000}"/>
    <dataValidation allowBlank="1" showInputMessage="1" showErrorMessage="1" prompt="Incluye las partidas aplicadas a la adquisición de máquinas destinadas a operaciones de servicio y/o auxiliares de la docencia e investigación como calderas, plantas eléctricas auxiliares, motores eléctricos, y similares" sqref="B14" xr:uid="{00000000-0002-0000-0300-000001000000}"/>
    <dataValidation allowBlank="1" showInputMessage="1" showErrorMessage="1" prompt="Televisores, radios, microfilmadoras, filmadoras, proyectores, y similares" sqref="B21" xr:uid="{00000000-0002-0000-0300-000002000000}"/>
    <dataValidation allowBlank="1" showInputMessage="1" showErrorMessage="1" prompt="Adquisición de equipos propios del funcionamiento de las oficinas,_x000a_tales como: Máquinas de escribir, calculadoras, fotocopiadoras de oficina, teléfonos, y similares." sqref="B22" xr:uid="{00000000-0002-0000-0300-000003000000}"/>
    <dataValidation allowBlank="1" showInputMessage="1" showErrorMessage="1" prompt="Recursos aplicados en la adquisición de equipo cómputo y hardware de la Universidad. " sqref="B23" xr:uid="{00000000-0002-0000-0300-000004000000}"/>
    <dataValidation allowBlank="1" showInputMessage="1" showErrorMessage="1" prompt="Valor de adquisición de muebles como: escritorios, sillas pupitres, mesas, butacas, bibliotecas, estantes, vitrinas, planotecas, archivadores, etc." sqref="B24" xr:uid="{00000000-0002-0000-0300-000005000000}"/>
    <dataValidation allowBlank="1" showInputMessage="1" showErrorMessage="1" prompt="Se refiere a recursos aplicados a la adquisición de elementos devolutivos (no fungibles) destinados a la dotación de los laboratorios de docencia, investigación y servicios de salud de la Universidad." sqref="B25" xr:uid="{00000000-0002-0000-0300-000006000000}"/>
    <dataValidation allowBlank="1" showInputMessage="1" showErrorMessage="1" prompt="Son los recursos necesarios para la adquisición de todo tipo de herramientas (elementos devolutivos)que sean requeridas como auxiliares en el funcionamiento de laboratorios y unidades académicas y administrativas" sqref="B26" xr:uid="{00000000-0002-0000-0300-000007000000}"/>
    <dataValidation allowBlank="1" showInputMessage="1" showErrorMessage="1" prompt="Se refiere a los gastos requeridos para la puesta en marcha de los equipos de laboratorio y maquinaria adquiridos por la Universidad" sqref="B27" xr:uid="{00000000-0002-0000-0300-000008000000}"/>
    <dataValidation allowBlank="1" showInputMessage="1" showErrorMessage="1" prompt="Corresponde a la autorización legal para hacer uso de un programa, para el manejo de una aplicación en computador o similares." sqref="B18" xr:uid="{00000000-0002-0000-0300-000009000000}"/>
    <dataValidation allowBlank="1" showInputMessage="1" showErrorMessage="1" prompt="Hace referencia a los recursos aplicados en la adquisición de libros, revistas, videos, material didáctico, consultas, material bibliográfico con destino a la dotación de la biblioteca de la Universidad_x000a_y a las unidades académicas y administrativas" sqref="B20" xr:uid="{00000000-0002-0000-0300-00000A000000}"/>
    <dataValidation allowBlank="1" showInputMessage="1" showErrorMessage="1" prompt="Son los gastos autorizados y ocasionados por la mejora, remodelación, adaptación o restauración de la planta física de la Universidad. " sqref="B28" xr:uid="{00000000-0002-0000-0300-00000B000000}"/>
    <dataValidation allowBlank="1" showInputMessage="1" showErrorMessage="1" prompt="Corresponde a los aportes a la Administradora de Riesgos Laborales (ARL) por estudiantes de la Universidad " sqref="B8" xr:uid="{00000000-0002-0000-0300-00000C000000}"/>
    <dataValidation allowBlank="1" showInputMessage="1" showErrorMessage="1" prompt="Corresponde la retribución por servicios prestados a la Universidad en forma transitoria y esporádica, por personas naturales o jurídicas" sqref="B6" xr:uid="{00000000-0002-0000-0300-00000D000000}"/>
    <dataValidation allowBlank="1" showInputMessage="1" showErrorMessage="1" prompt="Comprende los gastos ocasionados por la adquisición de elementos necesarios para el funcionamiento de las oficinas, tales como papelería, formatos, libros de control, cintas para maquinas, papel carbón, lápices, borradores, y similares" sqref="B19" xr:uid="{00000000-0002-0000-0300-00000E000000}"/>
    <dataValidation allowBlank="1" showInputMessage="1" showErrorMessage="1" prompt="Comprende los gastos ocasionados por la compra de productos y sustancias químicas necesarias para prácticas de laboratorio, aplicaciones operativas de servicios o de investigación" sqref="B17" xr:uid="{00000000-0002-0000-0300-00000F000000}"/>
    <dataValidation allowBlank="1" showInputMessage="1" showErrorMessage="1" prompt="Son gastos causados por el pago de alquiler de bienes muebles tales como: fotocopiadoras, cilindros, grúas, equipo técnico para enseñanza e investigación, clasificadoras, computadores, vehículos; y de bienes inmuebles " sqref="B29" xr:uid="{00000000-0002-0000-0300-000010000000}"/>
    <dataValidation allowBlank="1" showInputMessage="1" showErrorMessage="1" prompt="Corresponde al pago en dinero a los estudiantes de la Universidad por realización de labores propias de docencia, investigación y extensión" sqref="B7" xr:uid="{00000000-0002-0000-0300-000011000000}"/>
    <dataValidation allowBlank="1" showInputMessage="1" showErrorMessage="1" prompt="Son los gastos por concepto de portes y pago de peajes." sqref="B32" xr:uid="{00000000-0002-0000-0300-000012000000}"/>
    <dataValidation allowBlank="1" showInputMessage="1" showErrorMessage="1" prompt="Son los gastos por concepto acarreo de elementos, transporte de materiales o equipos y similares." sqref="B33" xr:uid="{00000000-0002-0000-0300-000013000000}"/>
    <dataValidation allowBlank="1" showInputMessage="1" showErrorMessage="1" prompt="Corresponde a los pagos efectuados por la adquisición de tiquetes aéreos y terrestres, necesarios para el desplazamiento del personal de la Universidad o invitados a otros sitios" sqref="B10" xr:uid="{00000000-0002-0000-0300-000014000000}"/>
    <dataValidation allowBlank="1" showInputMessage="1" showErrorMessage="1" prompt="Son los pagos que se realizan a las compañías aseguradoras para cubrir el valor de las pólizas que expidan para amparar los riesgos que corren los bienes muebles o inmuebles" sqref="B30" xr:uid="{00000000-0002-0000-0300-000015000000}"/>
    <dataValidation allowBlank="1" showInputMessage="1" showErrorMessage="1" prompt="Corresponde a los gastos por concepto de avisos en: Radio, prensa, revistas, anuncios y emisión de programas en televisión, entre otros, y publicación de folletos" sqref="B34:B35" xr:uid="{00000000-0002-0000-0300-000016000000}"/>
    <dataValidation allowBlank="1" showInputMessage="1" showErrorMessage="1" prompt="Son los gastos de alojamiento y alimentación aprobados a los empleados de planta y horas cátedra de la Universidad cuando deban desempeñar funciones en una localidad diferente a su sede habitual de trabajo" sqref="B11" xr:uid="{00000000-0002-0000-0300-000017000000}"/>
    <dataValidation allowBlank="1" showInputMessage="1" showErrorMessage="1" prompt="Planta y no planta: Corresponde a los gastos que se reconoce por alojamiento, alimentación, transporte y demás gastos necesarios para el cabal cumplimiento de la comisión o realización de actividades misionales." sqref="B12" xr:uid="{00000000-0002-0000-0300-000018000000}"/>
    <dataValidation allowBlank="1" showInputMessage="1" showErrorMessage="1" prompt="Corresponde a los gastos tendientes a la conservación y reparación de bienes muebles e inmuebles de la Universidad" sqref="B16" xr:uid="{00000000-0002-0000-0300-000019000000}"/>
    <dataValidation allowBlank="1" showInputMessage="1" showErrorMessage="1" prompt="Comprende los gastos causados por las salidas de estudiantes y de personal de planta" sqref="B15" xr:uid="{00000000-0002-0000-0300-00001A000000}"/>
    <dataValidation allowBlank="1" showInputMessage="1" showErrorMessage="1" prompt="Capacitaciones para personal docente o administrativo, cuya duración no sea superior a seis (6) meses." sqref="B31" xr:uid="{00000000-0002-0000-0300-00001B000000}"/>
    <dataValidation allowBlank="1" showInputMessage="1" showErrorMessage="1" prompt="Son los gastos ocasionados por los trámites de las importaciones e incluyen seguros de transporte, amparos, acarreos, bodegaje, multas, etc." sqref="B36" xr:uid="{00000000-0002-0000-0300-00001C000000}"/>
    <dataValidation allowBlank="1" showInputMessage="1" showErrorMessage="1" prompt="Servicios técnicos que sean solicitados a los laboratorios o grupos de la Universidad Industrial de Santander (Ensayos de laboratorio)" sqref="B9" xr:uid="{00000000-0002-0000-0300-00001D000000}"/>
  </dataValidations>
  <pageMargins left="0.7" right="0.7" top="0.75" bottom="0.75" header="0.3" footer="0.3"/>
  <pageSetup paperSize="9" scale="4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C6" sqref="C6"/>
    </sheetView>
  </sheetViews>
  <sheetFormatPr baseColWidth="10" defaultColWidth="11.453125" defaultRowHeight="14.5" x14ac:dyDescent="0.35"/>
  <cols>
    <col min="1" max="1" width="21" bestFit="1" customWidth="1"/>
    <col min="3" max="3" width="44.81640625" customWidth="1"/>
  </cols>
  <sheetData>
    <row r="1" spans="1:3" x14ac:dyDescent="0.35">
      <c r="A1" s="504" t="s">
        <v>179</v>
      </c>
      <c r="B1" s="504"/>
      <c r="C1" s="504"/>
    </row>
    <row r="2" spans="1:3" x14ac:dyDescent="0.35">
      <c r="A2" s="210" t="s">
        <v>180</v>
      </c>
      <c r="B2" s="210" t="s">
        <v>181</v>
      </c>
      <c r="C2" s="210" t="s">
        <v>182</v>
      </c>
    </row>
    <row r="3" spans="1:3" ht="43.5" x14ac:dyDescent="0.35">
      <c r="A3" s="212" t="s">
        <v>183</v>
      </c>
      <c r="B3" s="213">
        <v>6</v>
      </c>
      <c r="C3" s="214" t="s">
        <v>184</v>
      </c>
    </row>
    <row r="4" spans="1:3" ht="29" x14ac:dyDescent="0.35">
      <c r="A4" s="213" t="s">
        <v>185</v>
      </c>
      <c r="B4" s="213">
        <v>7</v>
      </c>
      <c r="C4" s="215" t="s">
        <v>186</v>
      </c>
    </row>
    <row r="5" spans="1:3" ht="29" x14ac:dyDescent="0.35">
      <c r="A5" s="213" t="s">
        <v>187</v>
      </c>
      <c r="B5" s="213">
        <v>8</v>
      </c>
      <c r="C5" s="226" t="s">
        <v>188</v>
      </c>
    </row>
    <row r="6" spans="1:3" ht="29" x14ac:dyDescent="0.35">
      <c r="A6" s="213" t="s">
        <v>335</v>
      </c>
      <c r="B6" s="211">
        <v>9</v>
      </c>
      <c r="C6" s="226" t="s">
        <v>336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04"/>
  <sheetViews>
    <sheetView topLeftCell="A43" workbookViewId="0">
      <selection activeCell="A81" sqref="A81"/>
    </sheetView>
  </sheetViews>
  <sheetFormatPr baseColWidth="10" defaultColWidth="11.453125" defaultRowHeight="14" x14ac:dyDescent="0.3"/>
  <cols>
    <col min="1" max="1" width="89" style="28" customWidth="1"/>
    <col min="2" max="2" width="54.7265625" style="29" customWidth="1"/>
    <col min="3" max="7" width="11.453125" style="29"/>
    <col min="8" max="9" width="63" style="29" customWidth="1"/>
    <col min="10" max="10" width="21.453125" style="29" customWidth="1"/>
    <col min="11" max="16384" width="11.453125" style="29"/>
  </cols>
  <sheetData>
    <row r="1" spans="1:10" x14ac:dyDescent="0.3">
      <c r="A1" s="32" t="s">
        <v>189</v>
      </c>
    </row>
    <row r="2" spans="1:10" x14ac:dyDescent="0.3">
      <c r="A2" s="31" t="s">
        <v>302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x14ac:dyDescent="0.3">
      <c r="A3" s="31" t="s">
        <v>303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0" x14ac:dyDescent="0.3">
      <c r="A4" s="31" t="s">
        <v>314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0" x14ac:dyDescent="0.3">
      <c r="A5" s="31" t="s">
        <v>301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0" x14ac:dyDescent="0.3">
      <c r="A6" s="31"/>
      <c r="B6" s="227"/>
      <c r="C6" s="227"/>
      <c r="D6" s="227"/>
      <c r="E6" s="227"/>
      <c r="F6" s="227"/>
      <c r="G6" s="227"/>
      <c r="H6" s="227"/>
      <c r="I6" s="227"/>
      <c r="J6" s="227"/>
    </row>
    <row r="7" spans="1:10" x14ac:dyDescent="0.3">
      <c r="A7" s="32" t="s">
        <v>190</v>
      </c>
    </row>
    <row r="8" spans="1:10" x14ac:dyDescent="0.3">
      <c r="A8" s="31" t="s">
        <v>191</v>
      </c>
      <c r="B8" s="227"/>
      <c r="C8" s="227"/>
      <c r="D8" s="227"/>
      <c r="E8" s="227"/>
      <c r="F8" s="227"/>
      <c r="G8" s="227"/>
      <c r="H8" s="227"/>
      <c r="I8" s="227"/>
      <c r="J8" s="227"/>
    </row>
    <row r="9" spans="1:10" x14ac:dyDescent="0.3">
      <c r="A9" s="31" t="s">
        <v>192</v>
      </c>
      <c r="B9" s="227"/>
      <c r="C9" s="227"/>
      <c r="D9" s="227"/>
      <c r="E9" s="227"/>
      <c r="F9" s="227"/>
      <c r="G9" s="227"/>
      <c r="H9" s="227"/>
      <c r="I9" s="227"/>
      <c r="J9" s="227"/>
    </row>
    <row r="10" spans="1:10" x14ac:dyDescent="0.3">
      <c r="A10" s="31" t="s">
        <v>243</v>
      </c>
      <c r="B10" s="227"/>
      <c r="C10" s="227"/>
      <c r="D10" s="227"/>
      <c r="E10" s="227"/>
      <c r="F10" s="227"/>
      <c r="G10" s="227"/>
      <c r="H10" s="227"/>
      <c r="I10" s="227"/>
      <c r="J10" s="227"/>
    </row>
    <row r="11" spans="1:10" x14ac:dyDescent="0.3">
      <c r="A11" s="31" t="s">
        <v>299</v>
      </c>
      <c r="B11" s="227"/>
      <c r="C11" s="227"/>
      <c r="D11" s="227"/>
      <c r="E11" s="227"/>
      <c r="F11" s="227"/>
      <c r="G11" s="227"/>
      <c r="H11" s="227"/>
      <c r="I11" s="227"/>
      <c r="J11" s="227"/>
    </row>
    <row r="12" spans="1:10" x14ac:dyDescent="0.3">
      <c r="A12" s="31" t="s">
        <v>193</v>
      </c>
      <c r="B12" s="227"/>
      <c r="C12" s="227"/>
      <c r="D12" s="227"/>
      <c r="E12" s="227"/>
      <c r="F12" s="227"/>
      <c r="G12" s="227"/>
      <c r="H12" s="227"/>
      <c r="I12" s="227"/>
      <c r="J12" s="227"/>
    </row>
    <row r="13" spans="1:10" x14ac:dyDescent="0.3">
      <c r="A13" s="31"/>
    </row>
    <row r="14" spans="1:10" x14ac:dyDescent="0.3">
      <c r="A14" s="31"/>
    </row>
    <row r="15" spans="1:10" x14ac:dyDescent="0.3">
      <c r="A15" s="32" t="s">
        <v>194</v>
      </c>
    </row>
    <row r="16" spans="1:10" ht="325.5" x14ac:dyDescent="0.3">
      <c r="A16" s="227" t="s">
        <v>244</v>
      </c>
      <c r="B16" s="229" t="s">
        <v>318</v>
      </c>
      <c r="C16" s="227"/>
      <c r="D16" s="227"/>
      <c r="E16" s="227"/>
      <c r="F16" s="227"/>
      <c r="G16" s="227"/>
      <c r="H16" s="227"/>
      <c r="I16" s="227"/>
      <c r="J16" s="8" t="s">
        <v>143</v>
      </c>
    </row>
    <row r="17" spans="1:10" ht="325.5" x14ac:dyDescent="0.3">
      <c r="A17" s="227" t="s">
        <v>244</v>
      </c>
      <c r="B17" s="229" t="s">
        <v>319</v>
      </c>
      <c r="C17" s="227"/>
      <c r="D17" s="227"/>
      <c r="E17" s="227"/>
      <c r="F17" s="227"/>
      <c r="G17" s="227"/>
      <c r="H17" s="227"/>
      <c r="I17" s="227"/>
      <c r="J17" s="30" t="s">
        <v>195</v>
      </c>
    </row>
    <row r="18" spans="1:10" ht="325.5" x14ac:dyDescent="0.3">
      <c r="A18" s="227" t="s">
        <v>244</v>
      </c>
      <c r="B18" s="229" t="s">
        <v>320</v>
      </c>
      <c r="C18" s="227"/>
      <c r="D18" s="227"/>
      <c r="E18" s="227"/>
      <c r="F18" s="227"/>
      <c r="G18" s="227"/>
      <c r="H18" s="227"/>
      <c r="I18" s="227"/>
      <c r="J18" s="8" t="s">
        <v>196</v>
      </c>
    </row>
    <row r="19" spans="1:10" ht="325.5" x14ac:dyDescent="0.3">
      <c r="A19" s="227" t="s">
        <v>245</v>
      </c>
      <c r="B19" s="229" t="s">
        <v>321</v>
      </c>
      <c r="C19" s="227"/>
      <c r="D19" s="227"/>
      <c r="E19" s="227"/>
      <c r="F19" s="227"/>
      <c r="G19" s="227"/>
      <c r="H19" s="227"/>
      <c r="I19" s="227"/>
      <c r="J19" s="8" t="s">
        <v>197</v>
      </c>
    </row>
    <row r="20" spans="1:10" ht="325.5" x14ac:dyDescent="0.3">
      <c r="A20" s="227" t="s">
        <v>246</v>
      </c>
      <c r="B20" s="229" t="s">
        <v>322</v>
      </c>
      <c r="C20" s="227"/>
      <c r="D20" s="227"/>
      <c r="E20" s="227"/>
      <c r="F20" s="227"/>
      <c r="G20" s="227"/>
      <c r="H20" s="227"/>
      <c r="I20" s="227"/>
      <c r="J20" s="8" t="s">
        <v>198</v>
      </c>
    </row>
    <row r="21" spans="1:10" ht="325.5" x14ac:dyDescent="0.3">
      <c r="A21" s="227" t="s">
        <v>246</v>
      </c>
      <c r="B21" s="229" t="s">
        <v>323</v>
      </c>
      <c r="C21" s="227"/>
      <c r="D21" s="227"/>
      <c r="E21" s="227"/>
      <c r="F21" s="227"/>
      <c r="G21" s="227"/>
      <c r="H21" s="227"/>
      <c r="I21" s="227"/>
      <c r="J21" s="8" t="s">
        <v>199</v>
      </c>
    </row>
    <row r="22" spans="1:10" ht="325.5" x14ac:dyDescent="0.3">
      <c r="A22" s="227" t="s">
        <v>246</v>
      </c>
      <c r="B22" s="229" t="s">
        <v>324</v>
      </c>
      <c r="C22" s="227"/>
      <c r="D22" s="227"/>
      <c r="E22" s="227"/>
      <c r="F22" s="227"/>
      <c r="G22" s="227"/>
      <c r="H22" s="227"/>
      <c r="I22" s="227"/>
      <c r="J22" s="8"/>
    </row>
    <row r="23" spans="1:10" ht="325.5" x14ac:dyDescent="0.3">
      <c r="A23" s="227" t="s">
        <v>317</v>
      </c>
      <c r="B23" s="227" t="s">
        <v>325</v>
      </c>
      <c r="C23" s="227"/>
      <c r="D23" s="227"/>
      <c r="E23" s="227"/>
      <c r="F23" s="227"/>
      <c r="G23" s="227"/>
      <c r="H23" s="227"/>
      <c r="I23" s="227"/>
      <c r="J23" s="8" t="s">
        <v>200</v>
      </c>
    </row>
    <row r="24" spans="1:10" ht="325.5" x14ac:dyDescent="0.3">
      <c r="A24" s="227" t="s">
        <v>317</v>
      </c>
      <c r="B24" s="227" t="s">
        <v>326</v>
      </c>
      <c r="C24" s="227"/>
      <c r="D24" s="227"/>
      <c r="E24" s="227"/>
      <c r="F24" s="227"/>
      <c r="G24" s="227"/>
      <c r="H24" s="227"/>
      <c r="I24" s="227"/>
      <c r="J24" s="8"/>
    </row>
    <row r="25" spans="1:10" ht="325.5" x14ac:dyDescent="0.3">
      <c r="A25" s="227" t="s">
        <v>317</v>
      </c>
      <c r="B25" s="227" t="s">
        <v>327</v>
      </c>
      <c r="C25" s="227"/>
      <c r="D25" s="227"/>
      <c r="E25" s="227"/>
      <c r="F25" s="227"/>
      <c r="G25" s="227"/>
      <c r="H25" s="227"/>
      <c r="I25" s="227"/>
      <c r="J25" s="8"/>
    </row>
    <row r="26" spans="1:10" ht="212.5" x14ac:dyDescent="0.3">
      <c r="A26" s="227" t="s">
        <v>300</v>
      </c>
      <c r="B26" s="227" t="s">
        <v>328</v>
      </c>
      <c r="C26" s="227"/>
      <c r="D26" s="227"/>
      <c r="E26" s="227"/>
      <c r="F26" s="227"/>
      <c r="G26" s="227"/>
      <c r="H26" s="227"/>
      <c r="I26" s="227"/>
      <c r="J26" s="8"/>
    </row>
    <row r="27" spans="1:10" ht="212.5" x14ac:dyDescent="0.3">
      <c r="A27" s="227" t="s">
        <v>300</v>
      </c>
      <c r="B27" s="227" t="s">
        <v>329</v>
      </c>
      <c r="C27" s="227"/>
      <c r="D27" s="227"/>
      <c r="E27" s="227"/>
      <c r="F27" s="227"/>
      <c r="G27" s="227"/>
      <c r="H27" s="227"/>
      <c r="I27" s="227"/>
      <c r="J27" s="8"/>
    </row>
    <row r="28" spans="1:10" ht="212.5" x14ac:dyDescent="0.3">
      <c r="A28" s="227" t="s">
        <v>300</v>
      </c>
      <c r="B28" s="227" t="s">
        <v>330</v>
      </c>
      <c r="C28" s="227"/>
      <c r="D28" s="227"/>
      <c r="E28" s="227"/>
      <c r="F28" s="227"/>
      <c r="G28" s="227"/>
      <c r="H28" s="227"/>
      <c r="I28" s="227"/>
      <c r="J28" s="8"/>
    </row>
    <row r="29" spans="1:10" x14ac:dyDescent="0.3">
      <c r="A29" s="30"/>
      <c r="B29" s="30"/>
      <c r="C29" s="30"/>
      <c r="D29" s="30"/>
      <c r="E29" s="30"/>
      <c r="F29" s="30"/>
      <c r="G29" s="30"/>
      <c r="H29" s="30"/>
      <c r="I29" s="30"/>
      <c r="J29" s="75"/>
    </row>
    <row r="30" spans="1:10" x14ac:dyDescent="0.3">
      <c r="A30" s="32" t="s">
        <v>58</v>
      </c>
    </row>
    <row r="31" spans="1:10" x14ac:dyDescent="0.3">
      <c r="A31" s="28" t="s">
        <v>98</v>
      </c>
    </row>
    <row r="32" spans="1:10" x14ac:dyDescent="0.3">
      <c r="A32" s="28" t="s">
        <v>99</v>
      </c>
    </row>
    <row r="33" spans="1:1" x14ac:dyDescent="0.3">
      <c r="A33" s="28" t="s">
        <v>201</v>
      </c>
    </row>
    <row r="34" spans="1:1" x14ac:dyDescent="0.3">
      <c r="A34" s="28" t="s">
        <v>202</v>
      </c>
    </row>
    <row r="35" spans="1:1" x14ac:dyDescent="0.3">
      <c r="A35" s="28" t="s">
        <v>203</v>
      </c>
    </row>
    <row r="36" spans="1:1" x14ac:dyDescent="0.3">
      <c r="A36" s="28" t="s">
        <v>204</v>
      </c>
    </row>
    <row r="37" spans="1:1" x14ac:dyDescent="0.3">
      <c r="A37" s="28" t="s">
        <v>107</v>
      </c>
    </row>
    <row r="38" spans="1:1" x14ac:dyDescent="0.3">
      <c r="A38" s="28" t="s">
        <v>110</v>
      </c>
    </row>
    <row r="41" spans="1:1" x14ac:dyDescent="0.3">
      <c r="A41" s="32" t="s">
        <v>205</v>
      </c>
    </row>
    <row r="42" spans="1:1" x14ac:dyDescent="0.3">
      <c r="A42" s="28" t="s">
        <v>117</v>
      </c>
    </row>
    <row r="43" spans="1:1" x14ac:dyDescent="0.3">
      <c r="A43" s="28" t="s">
        <v>206</v>
      </c>
    </row>
    <row r="46" spans="1:1" x14ac:dyDescent="0.3">
      <c r="A46" s="32" t="s">
        <v>207</v>
      </c>
    </row>
    <row r="47" spans="1:1" x14ac:dyDescent="0.3">
      <c r="A47" s="28" t="s">
        <v>77</v>
      </c>
    </row>
    <row r="48" spans="1:1" x14ac:dyDescent="0.3">
      <c r="A48" s="28" t="s">
        <v>78</v>
      </c>
    </row>
    <row r="49" spans="1:1" x14ac:dyDescent="0.3">
      <c r="A49" s="28" t="s">
        <v>208</v>
      </c>
    </row>
    <row r="52" spans="1:1" x14ac:dyDescent="0.3">
      <c r="A52" s="32" t="s">
        <v>209</v>
      </c>
    </row>
    <row r="53" spans="1:1" x14ac:dyDescent="0.3">
      <c r="A53" s="28" t="s">
        <v>135</v>
      </c>
    </row>
    <row r="54" spans="1:1" x14ac:dyDescent="0.3">
      <c r="A54" s="28" t="s">
        <v>137</v>
      </c>
    </row>
    <row r="57" spans="1:1" x14ac:dyDescent="0.3">
      <c r="A57" s="32" t="s">
        <v>210</v>
      </c>
    </row>
    <row r="58" spans="1:1" x14ac:dyDescent="0.3">
      <c r="A58" s="28" t="s">
        <v>142</v>
      </c>
    </row>
    <row r="59" spans="1:1" x14ac:dyDescent="0.3">
      <c r="A59" s="28" t="s">
        <v>144</v>
      </c>
    </row>
    <row r="60" spans="1:1" x14ac:dyDescent="0.3">
      <c r="A60" s="28" t="s">
        <v>145</v>
      </c>
    </row>
    <row r="62" spans="1:1" x14ac:dyDescent="0.3">
      <c r="A62" s="32" t="s">
        <v>211</v>
      </c>
    </row>
    <row r="63" spans="1:1" x14ac:dyDescent="0.3">
      <c r="A63" s="28" t="s">
        <v>146</v>
      </c>
    </row>
    <row r="64" spans="1:1" x14ac:dyDescent="0.3">
      <c r="A64" s="28" t="s">
        <v>147</v>
      </c>
    </row>
    <row r="66" spans="1:1" x14ac:dyDescent="0.3">
      <c r="A66" s="32" t="s">
        <v>68</v>
      </c>
    </row>
    <row r="67" spans="1:1" x14ac:dyDescent="0.3">
      <c r="A67" s="118">
        <v>2023</v>
      </c>
    </row>
    <row r="68" spans="1:1" x14ac:dyDescent="0.3">
      <c r="A68" s="118">
        <v>2024</v>
      </c>
    </row>
    <row r="70" spans="1:1" x14ac:dyDescent="0.3">
      <c r="A70" s="32" t="s">
        <v>331</v>
      </c>
    </row>
    <row r="71" spans="1:1" x14ac:dyDescent="0.3">
      <c r="A71" s="230">
        <v>1160000</v>
      </c>
    </row>
    <row r="73" spans="1:1" x14ac:dyDescent="0.3">
      <c r="A73" s="32" t="s">
        <v>212</v>
      </c>
    </row>
    <row r="74" spans="1:1" x14ac:dyDescent="0.3">
      <c r="A74" s="231">
        <f>A71*1.06</f>
        <v>1229600</v>
      </c>
    </row>
    <row r="75" spans="1:1" x14ac:dyDescent="0.3">
      <c r="A75" s="119"/>
    </row>
    <row r="76" spans="1:1" x14ac:dyDescent="0.3">
      <c r="A76" s="32" t="s">
        <v>332</v>
      </c>
    </row>
    <row r="77" spans="1:1" x14ac:dyDescent="0.3">
      <c r="A77" s="231">
        <f>aproxsmlmv2019*1.06</f>
        <v>1303376</v>
      </c>
    </row>
    <row r="80" spans="1:1" x14ac:dyDescent="0.3">
      <c r="A80" s="32" t="s">
        <v>213</v>
      </c>
    </row>
    <row r="81" spans="1:1" x14ac:dyDescent="0.3">
      <c r="A81" s="28" t="s">
        <v>84</v>
      </c>
    </row>
    <row r="82" spans="1:1" x14ac:dyDescent="0.3">
      <c r="A82" s="28" t="s">
        <v>86</v>
      </c>
    </row>
    <row r="83" spans="1:1" x14ac:dyDescent="0.3">
      <c r="A83" s="28" t="s">
        <v>88</v>
      </c>
    </row>
    <row r="84" spans="1:1" x14ac:dyDescent="0.3">
      <c r="A84" s="28" t="s">
        <v>90</v>
      </c>
    </row>
    <row r="85" spans="1:1" x14ac:dyDescent="0.3">
      <c r="A85" s="28" t="s">
        <v>92</v>
      </c>
    </row>
    <row r="87" spans="1:1" x14ac:dyDescent="0.3">
      <c r="A87" s="32" t="s">
        <v>214</v>
      </c>
    </row>
    <row r="88" spans="1:1" x14ac:dyDescent="0.3">
      <c r="A88" s="28" t="s">
        <v>166</v>
      </c>
    </row>
    <row r="89" spans="1:1" x14ac:dyDescent="0.3">
      <c r="A89" s="28" t="s">
        <v>161</v>
      </c>
    </row>
    <row r="90" spans="1:1" x14ac:dyDescent="0.3">
      <c r="A90" s="28" t="s">
        <v>162</v>
      </c>
    </row>
    <row r="91" spans="1:1" x14ac:dyDescent="0.3">
      <c r="A91" s="28" t="s">
        <v>167</v>
      </c>
    </row>
    <row r="92" spans="1:1" x14ac:dyDescent="0.3">
      <c r="A92" s="28" t="s">
        <v>164</v>
      </c>
    </row>
    <row r="93" spans="1:1" x14ac:dyDescent="0.3">
      <c r="A93" s="28" t="s">
        <v>158</v>
      </c>
    </row>
    <row r="94" spans="1:1" x14ac:dyDescent="0.3">
      <c r="A94" s="28" t="s">
        <v>154</v>
      </c>
    </row>
    <row r="95" spans="1:1" x14ac:dyDescent="0.3">
      <c r="A95" s="28" t="s">
        <v>156</v>
      </c>
    </row>
    <row r="96" spans="1:1" x14ac:dyDescent="0.3">
      <c r="A96" s="28" t="s">
        <v>155</v>
      </c>
    </row>
    <row r="97" spans="1:1" x14ac:dyDescent="0.3">
      <c r="A97" s="28" t="s">
        <v>169</v>
      </c>
    </row>
    <row r="98" spans="1:1" x14ac:dyDescent="0.3">
      <c r="A98" s="28" t="s">
        <v>159</v>
      </c>
    </row>
    <row r="99" spans="1:1" x14ac:dyDescent="0.3">
      <c r="A99" s="28" t="s">
        <v>160</v>
      </c>
    </row>
    <row r="100" spans="1:1" x14ac:dyDescent="0.3">
      <c r="A100" s="28" t="s">
        <v>157</v>
      </c>
    </row>
    <row r="101" spans="1:1" x14ac:dyDescent="0.3">
      <c r="A101" s="28" t="s">
        <v>165</v>
      </c>
    </row>
    <row r="102" spans="1:1" x14ac:dyDescent="0.3">
      <c r="A102" s="28" t="s">
        <v>163</v>
      </c>
    </row>
    <row r="103" spans="1:1" x14ac:dyDescent="0.3">
      <c r="A103" s="28" t="s">
        <v>168</v>
      </c>
    </row>
    <row r="106" spans="1:1" x14ac:dyDescent="0.3">
      <c r="A106" s="32" t="s">
        <v>215</v>
      </c>
    </row>
    <row r="107" spans="1:1" x14ac:dyDescent="0.3">
      <c r="A107" s="228" t="s">
        <v>216</v>
      </c>
    </row>
    <row r="108" spans="1:1" ht="28" x14ac:dyDescent="0.3">
      <c r="A108" s="228" t="s">
        <v>217</v>
      </c>
    </row>
    <row r="109" spans="1:1" x14ac:dyDescent="0.3">
      <c r="A109" s="228" t="s">
        <v>218</v>
      </c>
    </row>
    <row r="110" spans="1:1" ht="28" x14ac:dyDescent="0.3">
      <c r="A110" s="228" t="s">
        <v>219</v>
      </c>
    </row>
    <row r="111" spans="1:1" x14ac:dyDescent="0.3">
      <c r="A111" s="228" t="s">
        <v>220</v>
      </c>
    </row>
    <row r="112" spans="1:1" x14ac:dyDescent="0.3">
      <c r="A112" s="228" t="s">
        <v>221</v>
      </c>
    </row>
    <row r="113" spans="1:1" x14ac:dyDescent="0.3">
      <c r="A113" s="228" t="s">
        <v>222</v>
      </c>
    </row>
    <row r="114" spans="1:1" ht="28" x14ac:dyDescent="0.3">
      <c r="A114" s="228" t="s">
        <v>223</v>
      </c>
    </row>
    <row r="115" spans="1:1" ht="28" x14ac:dyDescent="0.3">
      <c r="A115" s="228" t="s">
        <v>224</v>
      </c>
    </row>
    <row r="116" spans="1:1" x14ac:dyDescent="0.3">
      <c r="A116" s="228" t="s">
        <v>225</v>
      </c>
    </row>
    <row r="117" spans="1:1" ht="28" x14ac:dyDescent="0.3">
      <c r="A117" s="228" t="s">
        <v>226</v>
      </c>
    </row>
    <row r="118" spans="1:1" x14ac:dyDescent="0.3">
      <c r="A118" s="228" t="s">
        <v>227</v>
      </c>
    </row>
    <row r="119" spans="1:1" x14ac:dyDescent="0.3">
      <c r="A119" s="228" t="s">
        <v>228</v>
      </c>
    </row>
    <row r="120" spans="1:1" ht="28" x14ac:dyDescent="0.3">
      <c r="A120" s="228" t="s">
        <v>229</v>
      </c>
    </row>
    <row r="121" spans="1:1" ht="42" x14ac:dyDescent="0.3">
      <c r="A121" s="228" t="s">
        <v>230</v>
      </c>
    </row>
    <row r="122" spans="1:1" ht="42" x14ac:dyDescent="0.3">
      <c r="A122" s="228" t="s">
        <v>231</v>
      </c>
    </row>
    <row r="123" spans="1:1" ht="28" x14ac:dyDescent="0.3">
      <c r="A123" s="228" t="s">
        <v>232</v>
      </c>
    </row>
    <row r="124" spans="1:1" x14ac:dyDescent="0.3">
      <c r="A124" s="228" t="s">
        <v>233</v>
      </c>
    </row>
    <row r="126" spans="1:1" x14ac:dyDescent="0.3">
      <c r="A126" s="32" t="s">
        <v>234</v>
      </c>
    </row>
    <row r="127" spans="1:1" x14ac:dyDescent="0.3">
      <c r="A127" s="29"/>
    </row>
    <row r="128" spans="1:1" x14ac:dyDescent="0.3">
      <c r="A128" s="28" t="s">
        <v>235</v>
      </c>
    </row>
    <row r="129" spans="1:1" x14ac:dyDescent="0.3">
      <c r="A129" s="28" t="s">
        <v>236</v>
      </c>
    </row>
    <row r="130" spans="1:1" x14ac:dyDescent="0.3">
      <c r="A130" s="28" t="s">
        <v>237</v>
      </c>
    </row>
    <row r="131" spans="1:1" x14ac:dyDescent="0.3">
      <c r="A131" s="28" t="s">
        <v>238</v>
      </c>
    </row>
    <row r="132" spans="1:1" x14ac:dyDescent="0.3">
      <c r="A132" s="28" t="s">
        <v>239</v>
      </c>
    </row>
    <row r="133" spans="1:1" x14ac:dyDescent="0.3">
      <c r="A133" s="28" t="s">
        <v>240</v>
      </c>
    </row>
    <row r="134" spans="1:1" x14ac:dyDescent="0.3">
      <c r="A134" s="28" t="s">
        <v>241</v>
      </c>
    </row>
    <row r="135" spans="1:1" x14ac:dyDescent="0.3">
      <c r="A135" s="28" t="s">
        <v>242</v>
      </c>
    </row>
    <row r="136" spans="1:1" x14ac:dyDescent="0.3">
      <c r="A136" s="28" t="s">
        <v>193</v>
      </c>
    </row>
    <row r="138" spans="1:1" x14ac:dyDescent="0.3">
      <c r="A138" s="32" t="s">
        <v>247</v>
      </c>
    </row>
    <row r="139" spans="1:1" x14ac:dyDescent="0.3">
      <c r="A139" s="32"/>
    </row>
    <row r="140" spans="1:1" x14ac:dyDescent="0.3">
      <c r="A140" s="232" t="s">
        <v>249</v>
      </c>
    </row>
    <row r="141" spans="1:1" ht="28" x14ac:dyDescent="0.3">
      <c r="A141" s="232" t="s">
        <v>250</v>
      </c>
    </row>
    <row r="142" spans="1:1" ht="28" x14ac:dyDescent="0.3">
      <c r="A142" s="232" t="s">
        <v>251</v>
      </c>
    </row>
    <row r="143" spans="1:1" x14ac:dyDescent="0.3">
      <c r="A143" s="232" t="s">
        <v>252</v>
      </c>
    </row>
    <row r="144" spans="1:1" x14ac:dyDescent="0.3">
      <c r="A144" s="232" t="s">
        <v>253</v>
      </c>
    </row>
    <row r="145" spans="1:1" x14ac:dyDescent="0.3">
      <c r="A145" s="232" t="s">
        <v>254</v>
      </c>
    </row>
    <row r="146" spans="1:1" x14ac:dyDescent="0.3">
      <c r="A146" s="232" t="s">
        <v>255</v>
      </c>
    </row>
    <row r="147" spans="1:1" ht="28" x14ac:dyDescent="0.3">
      <c r="A147" s="232" t="s">
        <v>256</v>
      </c>
    </row>
    <row r="148" spans="1:1" ht="28" x14ac:dyDescent="0.3">
      <c r="A148" s="232" t="s">
        <v>257</v>
      </c>
    </row>
    <row r="149" spans="1:1" x14ac:dyDescent="0.3">
      <c r="A149" s="232" t="s">
        <v>258</v>
      </c>
    </row>
    <row r="150" spans="1:1" ht="28" x14ac:dyDescent="0.3">
      <c r="A150" s="232" t="s">
        <v>259</v>
      </c>
    </row>
    <row r="151" spans="1:1" ht="28" x14ac:dyDescent="0.3">
      <c r="A151" s="232" t="s">
        <v>260</v>
      </c>
    </row>
    <row r="152" spans="1:1" x14ac:dyDescent="0.3">
      <c r="A152" s="232" t="s">
        <v>261</v>
      </c>
    </row>
    <row r="153" spans="1:1" x14ac:dyDescent="0.3">
      <c r="A153" s="232" t="s">
        <v>262</v>
      </c>
    </row>
    <row r="154" spans="1:1" x14ac:dyDescent="0.3">
      <c r="A154" s="232" t="s">
        <v>263</v>
      </c>
    </row>
    <row r="155" spans="1:1" x14ac:dyDescent="0.3">
      <c r="A155" s="232" t="s">
        <v>264</v>
      </c>
    </row>
    <row r="156" spans="1:1" x14ac:dyDescent="0.3">
      <c r="A156" s="232" t="s">
        <v>265</v>
      </c>
    </row>
    <row r="157" spans="1:1" x14ac:dyDescent="0.3">
      <c r="A157" s="232" t="s">
        <v>266</v>
      </c>
    </row>
    <row r="158" spans="1:1" x14ac:dyDescent="0.3">
      <c r="A158" s="232" t="s">
        <v>267</v>
      </c>
    </row>
    <row r="159" spans="1:1" x14ac:dyDescent="0.3">
      <c r="A159" s="232" t="s">
        <v>268</v>
      </c>
    </row>
    <row r="160" spans="1:1" x14ac:dyDescent="0.3">
      <c r="A160" s="232" t="s">
        <v>269</v>
      </c>
    </row>
    <row r="161" spans="1:1" ht="28" x14ac:dyDescent="0.3">
      <c r="A161" s="232" t="s">
        <v>270</v>
      </c>
    </row>
    <row r="162" spans="1:1" ht="28" x14ac:dyDescent="0.3">
      <c r="A162" s="232" t="s">
        <v>271</v>
      </c>
    </row>
    <row r="163" spans="1:1" x14ac:dyDescent="0.3">
      <c r="A163" s="232" t="s">
        <v>272</v>
      </c>
    </row>
    <row r="164" spans="1:1" x14ac:dyDescent="0.3">
      <c r="A164" s="232" t="s">
        <v>273</v>
      </c>
    </row>
    <row r="165" spans="1:1" x14ac:dyDescent="0.3">
      <c r="A165" s="232" t="s">
        <v>274</v>
      </c>
    </row>
    <row r="166" spans="1:1" x14ac:dyDescent="0.3">
      <c r="A166" s="232" t="s">
        <v>275</v>
      </c>
    </row>
    <row r="167" spans="1:1" x14ac:dyDescent="0.3">
      <c r="A167" s="232" t="s">
        <v>276</v>
      </c>
    </row>
    <row r="168" spans="1:1" x14ac:dyDescent="0.3">
      <c r="A168" s="232" t="s">
        <v>277</v>
      </c>
    </row>
    <row r="169" spans="1:1" x14ac:dyDescent="0.3">
      <c r="A169" s="232" t="s">
        <v>278</v>
      </c>
    </row>
    <row r="170" spans="1:1" x14ac:dyDescent="0.3">
      <c r="A170" s="232" t="s">
        <v>279</v>
      </c>
    </row>
    <row r="171" spans="1:1" x14ac:dyDescent="0.3">
      <c r="A171" s="232" t="s">
        <v>280</v>
      </c>
    </row>
    <row r="172" spans="1:1" x14ac:dyDescent="0.3">
      <c r="A172" s="232" t="s">
        <v>281</v>
      </c>
    </row>
    <row r="173" spans="1:1" x14ac:dyDescent="0.3">
      <c r="A173" s="232" t="s">
        <v>282</v>
      </c>
    </row>
    <row r="174" spans="1:1" x14ac:dyDescent="0.3">
      <c r="A174" s="232" t="s">
        <v>283</v>
      </c>
    </row>
    <row r="175" spans="1:1" x14ac:dyDescent="0.3">
      <c r="A175" s="232" t="s">
        <v>284</v>
      </c>
    </row>
    <row r="176" spans="1:1" x14ac:dyDescent="0.3">
      <c r="A176" s="232" t="s">
        <v>285</v>
      </c>
    </row>
    <row r="177" spans="1:1" x14ac:dyDescent="0.3">
      <c r="A177" s="232" t="s">
        <v>286</v>
      </c>
    </row>
    <row r="178" spans="1:1" x14ac:dyDescent="0.3">
      <c r="A178" s="232" t="s">
        <v>287</v>
      </c>
    </row>
    <row r="179" spans="1:1" x14ac:dyDescent="0.3">
      <c r="A179" s="232" t="s">
        <v>288</v>
      </c>
    </row>
    <row r="180" spans="1:1" x14ac:dyDescent="0.3">
      <c r="A180" s="232" t="s">
        <v>289</v>
      </c>
    </row>
    <row r="181" spans="1:1" x14ac:dyDescent="0.3">
      <c r="A181" s="232" t="s">
        <v>290</v>
      </c>
    </row>
    <row r="182" spans="1:1" x14ac:dyDescent="0.3">
      <c r="A182" s="232" t="s">
        <v>291</v>
      </c>
    </row>
    <row r="183" spans="1:1" x14ac:dyDescent="0.3">
      <c r="A183" s="232" t="s">
        <v>292</v>
      </c>
    </row>
    <row r="184" spans="1:1" x14ac:dyDescent="0.3">
      <c r="A184" s="232" t="s">
        <v>293</v>
      </c>
    </row>
    <row r="185" spans="1:1" x14ac:dyDescent="0.3">
      <c r="A185" s="232" t="s">
        <v>294</v>
      </c>
    </row>
    <row r="186" spans="1:1" x14ac:dyDescent="0.3">
      <c r="A186" s="232" t="s">
        <v>295</v>
      </c>
    </row>
    <row r="187" spans="1:1" x14ac:dyDescent="0.3">
      <c r="A187" s="232" t="s">
        <v>296</v>
      </c>
    </row>
    <row r="188" spans="1:1" x14ac:dyDescent="0.3">
      <c r="A188" s="232" t="s">
        <v>193</v>
      </c>
    </row>
    <row r="190" spans="1:1" x14ac:dyDescent="0.3">
      <c r="A190" s="32" t="s">
        <v>304</v>
      </c>
    </row>
    <row r="192" spans="1:1" x14ac:dyDescent="0.3">
      <c r="A192" s="232" t="s">
        <v>306</v>
      </c>
    </row>
    <row r="193" spans="1:1" ht="24" customHeight="1" x14ac:dyDescent="0.3">
      <c r="A193" s="232" t="s">
        <v>307</v>
      </c>
    </row>
    <row r="194" spans="1:1" ht="28" x14ac:dyDescent="0.3">
      <c r="A194" s="232" t="s">
        <v>308</v>
      </c>
    </row>
    <row r="195" spans="1:1" x14ac:dyDescent="0.3">
      <c r="A195" s="232" t="s">
        <v>309</v>
      </c>
    </row>
    <row r="196" spans="1:1" x14ac:dyDescent="0.3">
      <c r="A196" s="232" t="s">
        <v>310</v>
      </c>
    </row>
    <row r="197" spans="1:1" x14ac:dyDescent="0.3">
      <c r="A197" s="28" t="s">
        <v>193</v>
      </c>
    </row>
    <row r="199" spans="1:1" x14ac:dyDescent="0.3">
      <c r="A199" s="32" t="s">
        <v>305</v>
      </c>
    </row>
    <row r="201" spans="1:1" x14ac:dyDescent="0.3">
      <c r="A201" s="228" t="s">
        <v>311</v>
      </c>
    </row>
    <row r="202" spans="1:1" x14ac:dyDescent="0.3">
      <c r="A202" s="228" t="s">
        <v>312</v>
      </c>
    </row>
    <row r="203" spans="1:1" ht="42" x14ac:dyDescent="0.3">
      <c r="A203" s="228" t="s">
        <v>313</v>
      </c>
    </row>
    <row r="204" spans="1:1" x14ac:dyDescent="0.3">
      <c r="A204" s="228" t="s">
        <v>193</v>
      </c>
    </row>
  </sheetData>
  <sortState xmlns:xlrd2="http://schemas.microsoft.com/office/spreadsheetml/2017/richdata2" ref="A111:A118">
    <sortCondition ref="A111"/>
  </sortState>
  <pageMargins left="0.7" right="0.7" top="0.75" bottom="0.75" header="0.3" footer="0.3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1BE33ED45E074BA32E1A05197A349A" ma:contentTypeVersion="12" ma:contentTypeDescription="Crear nuevo documento." ma:contentTypeScope="" ma:versionID="b154d1899597dca75451e7a7e9fdde28">
  <xsd:schema xmlns:xsd="http://www.w3.org/2001/XMLSchema" xmlns:xs="http://www.w3.org/2001/XMLSchema" xmlns:p="http://schemas.microsoft.com/office/2006/metadata/properties" xmlns:ns2="1ace5135-a4d3-4a60-9c96-5ccb7065c49c" xmlns:ns3="68fe6977-8d80-4ca8-a34f-c3f03895231f" targetNamespace="http://schemas.microsoft.com/office/2006/metadata/properties" ma:root="true" ma:fieldsID="55233c0298667f76027aed1fbd48a345" ns2:_="" ns3:_="">
    <xsd:import namespace="1ace5135-a4d3-4a60-9c96-5ccb7065c49c"/>
    <xsd:import namespace="68fe6977-8d80-4ca8-a34f-c3f0389523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e5135-a4d3-4a60-9c96-5ccb7065c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e6977-8d80-4ca8-a34f-c3f0389523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02A80F-E056-4026-AC80-276905E9B6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01AB5-7F61-4129-B3F4-09A00736F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e5135-a4d3-4a60-9c96-5ccb7065c49c"/>
    <ds:schemaRef ds:uri="68fe6977-8d80-4ca8-a34f-c3f0389523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66AFD7-9EB7-4A46-A537-654BFBBD98EF}">
  <ds:schemaRefs>
    <ds:schemaRef ds:uri="http://schemas.microsoft.com/office/2006/metadata/properties"/>
    <ds:schemaRef ds:uri="http://schemas.openxmlformats.org/package/2006/metadata/core-properties"/>
    <ds:schemaRef ds:uri="1ace5135-a4d3-4a60-9c96-5ccb7065c49c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68fe6977-8d80-4ca8-a34f-c3f0389523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120</vt:i4>
      </vt:variant>
    </vt:vector>
  </HeadingPairs>
  <TitlesOfParts>
    <vt:vector size="126" baseType="lpstr">
      <vt:lpstr>Formulario</vt:lpstr>
      <vt:lpstr>Tabla Presupuesto Personal</vt:lpstr>
      <vt:lpstr>Tablas Presupuesto Detallado</vt:lpstr>
      <vt:lpstr>Presupuesto global</vt:lpstr>
      <vt:lpstr>Control de cambios</vt:lpstr>
      <vt:lpstr>Listas</vt:lpstr>
      <vt:lpstr>año</vt:lpstr>
      <vt:lpstr>Año_acarre</vt:lpstr>
      <vt:lpstr>año_actual</vt:lpstr>
      <vt:lpstr>Año_adec</vt:lpstr>
      <vt:lpstr>Año_arrend</vt:lpstr>
      <vt:lpstr>Año_aud</vt:lpstr>
      <vt:lpstr>Año_avisos</vt:lpstr>
      <vt:lpstr>Año_capac</vt:lpstr>
      <vt:lpstr>Año_cómp</vt:lpstr>
      <vt:lpstr>Año_elelab</vt:lpstr>
      <vt:lpstr>Año_equipos</vt:lpstr>
      <vt:lpstr>Año_gasimpo</vt:lpstr>
      <vt:lpstr>Año_herra</vt:lpstr>
      <vt:lpstr>Año_libros</vt:lpstr>
      <vt:lpstr>Año_licencias</vt:lpstr>
      <vt:lpstr>Año_mont</vt:lpstr>
      <vt:lpstr>Año_mue</vt:lpstr>
      <vt:lpstr>Año_ofi</vt:lpstr>
      <vt:lpstr>Año_otgadm</vt:lpstr>
      <vt:lpstr>Año_otros</vt:lpstr>
      <vt:lpstr>Año_otrosrubros</vt:lpstr>
      <vt:lpstr>Año_papelería</vt:lpstr>
      <vt:lpstr>Año_personal</vt:lpstr>
      <vt:lpstr>Año_portes</vt:lpstr>
      <vt:lpstr>Año_prácticas</vt:lpstr>
      <vt:lpstr>Año_reactivos</vt:lpstr>
      <vt:lpstr>Año_reparar</vt:lpstr>
      <vt:lpstr>Año_segur</vt:lpstr>
      <vt:lpstr>año_siguiente</vt:lpstr>
      <vt:lpstr>Año_ST</vt:lpstr>
      <vt:lpstr>año_subsiguiente</vt:lpstr>
      <vt:lpstr>Año_viajes</vt:lpstr>
      <vt:lpstr>Aproxsml2020</vt:lpstr>
      <vt:lpstr>Aproxsml2021</vt:lpstr>
      <vt:lpstr>Aproxsml2022</vt:lpstr>
      <vt:lpstr>Aproxsml2024</vt:lpstr>
      <vt:lpstr>aproxsmlmv2019</vt:lpstr>
      <vt:lpstr>aproxsmlmv2020</vt:lpstr>
      <vt:lpstr>aproxsmlmv2021</vt:lpstr>
      <vt:lpstr>aproxsmlmv2023</vt:lpstr>
      <vt:lpstr>Formulario!Área_de_impresión</vt:lpstr>
      <vt:lpstr>'Presupuesto global'!Área_de_impresión</vt:lpstr>
      <vt:lpstr>'Tabla Presupuesto Personal'!Área_de_impresión</vt:lpstr>
      <vt:lpstr>'Tablas Presupuesto Detallado'!Área_de_impresión</vt:lpstr>
      <vt:lpstr>ef_viajes</vt:lpstr>
      <vt:lpstr>Efe_equipo</vt:lpstr>
      <vt:lpstr>efec_libros</vt:lpstr>
      <vt:lpstr>efec_licen</vt:lpstr>
      <vt:lpstr>efec_papel</vt:lpstr>
      <vt:lpstr>efec_practicas</vt:lpstr>
      <vt:lpstr>efec_reacti</vt:lpstr>
      <vt:lpstr>efec_reparar</vt:lpstr>
      <vt:lpstr>Efec_STOTRA</vt:lpstr>
      <vt:lpstr>efec_STUIS</vt:lpstr>
      <vt:lpstr>efectivo_uis</vt:lpstr>
      <vt:lpstr>Entidad_finan</vt:lpstr>
      <vt:lpstr>esp_libr</vt:lpstr>
      <vt:lpstr>esp_licenc</vt:lpstr>
      <vt:lpstr>esp_pract</vt:lpstr>
      <vt:lpstr>esp_react</vt:lpstr>
      <vt:lpstr>esp_reparar</vt:lpstr>
      <vt:lpstr>Esp_STOTRA</vt:lpstr>
      <vt:lpstr>Esp_STUIS</vt:lpstr>
      <vt:lpstr>esp_viajes</vt:lpstr>
      <vt:lpstr>espe_papel</vt:lpstr>
      <vt:lpstr>espec_equi</vt:lpstr>
      <vt:lpstr>especie_uis</vt:lpstr>
      <vt:lpstr>listaotrosrubros</vt:lpstr>
      <vt:lpstr>ot_efe_via</vt:lpstr>
      <vt:lpstr>ot_efec_lice</vt:lpstr>
      <vt:lpstr>ot_efec_pape</vt:lpstr>
      <vt:lpstr>ot_es_lice</vt:lpstr>
      <vt:lpstr>ot_es_prac</vt:lpstr>
      <vt:lpstr>ot_es_viaj</vt:lpstr>
      <vt:lpstr>ot_esp_papel</vt:lpstr>
      <vt:lpstr>otr_efe_equ</vt:lpstr>
      <vt:lpstr>otr_efec_libro</vt:lpstr>
      <vt:lpstr>otr_efec_otr</vt:lpstr>
      <vt:lpstr>otr_efec_prac</vt:lpstr>
      <vt:lpstr>otr_efec_repara</vt:lpstr>
      <vt:lpstr>otr_es_equ</vt:lpstr>
      <vt:lpstr>otr_esp_libro</vt:lpstr>
      <vt:lpstr>otr_esp_repa</vt:lpstr>
      <vt:lpstr>otra_efec_react</vt:lpstr>
      <vt:lpstr>otra_esp_reac</vt:lpstr>
      <vt:lpstr>otras_efectivo</vt:lpstr>
      <vt:lpstr>otras_especie</vt:lpstr>
      <vt:lpstr>Otro_Es_otro</vt:lpstr>
      <vt:lpstr>otro_es_UIS</vt:lpstr>
      <vt:lpstr>otrosefec_uis</vt:lpstr>
      <vt:lpstr>otrosrubros</vt:lpstr>
      <vt:lpstr>otrosrubrosfi</vt:lpstr>
      <vt:lpstr>Riesgos_estudiantes</vt:lpstr>
      <vt:lpstr>rubro</vt:lpstr>
      <vt:lpstr>rubro_compra</vt:lpstr>
      <vt:lpstr>rubro_personal</vt:lpstr>
      <vt:lpstr>rubro_viajes</vt:lpstr>
      <vt:lpstr>smlmv_2020</vt:lpstr>
      <vt:lpstr>smlmv_2021__estimado</vt:lpstr>
      <vt:lpstr>smlmv_2022</vt:lpstr>
      <vt:lpstr>smlmv_2022__estimado</vt:lpstr>
      <vt:lpstr>smlmv_2023__estimado</vt:lpstr>
      <vt:lpstr>smlmv_2024__estimado</vt:lpstr>
      <vt:lpstr>smlmv2018</vt:lpstr>
      <vt:lpstr>smlmv2019</vt:lpstr>
      <vt:lpstr>smlmv2020</vt:lpstr>
      <vt:lpstr>smlmv2022</vt:lpstr>
      <vt:lpstr>Tarifa1</vt:lpstr>
      <vt:lpstr>Tarifa2</vt:lpstr>
      <vt:lpstr>Tarifa3</vt:lpstr>
      <vt:lpstr>Tarifa4</vt:lpstr>
      <vt:lpstr>Tarifa5</vt:lpstr>
      <vt:lpstr>TipoFinan</vt:lpstr>
      <vt:lpstr>TipoR1</vt:lpstr>
      <vt:lpstr>TipoR2</vt:lpstr>
      <vt:lpstr>TipoR3</vt:lpstr>
      <vt:lpstr>TipoR4</vt:lpstr>
      <vt:lpstr>TipoR5</vt:lpstr>
      <vt:lpstr>Formulario!Títulos_a_imprimir</vt:lpstr>
      <vt:lpstr>Vl_riesgos_est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</dc:creator>
  <cp:keywords/>
  <dc:description/>
  <cp:lastModifiedBy>Usuario</cp:lastModifiedBy>
  <cp:revision/>
  <dcterms:created xsi:type="dcterms:W3CDTF">2017-09-21T14:19:55Z</dcterms:created>
  <dcterms:modified xsi:type="dcterms:W3CDTF">2023-02-09T14:50:01Z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0x010100D81BE33ED45E074BA32E1A05197A349A</vt:lpwstr>
  </property>
</Properties>
</file>